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4000" windowHeight="9645" tabRatio="854" firstSheet="1" activeTab="2"/>
  </bookViews>
  <sheets>
    <sheet name="nema tahmin segmentli" sheetId="40" state="hidden" r:id="rId1"/>
    <sheet name="KULLANIM KILAVUZU" sheetId="44" r:id="rId2"/>
    <sheet name="BAŞ SAYFA" sheetId="25" r:id="rId3"/>
    <sheet name="AYRINTILI BİLGİLER" sheetId="20" r:id="rId4"/>
    <sheet name="NEMA ENF REKOR" sheetId="32" state="hidden" r:id="rId5"/>
    <sheet name="5 YILLIK GELECEĞİ PLANLAMA " sheetId="16" state="hidden" r:id="rId6"/>
    <sheet name="OYAK ANLIK VARLIK HESAPLAMA " sheetId="21" state="hidden" r:id="rId7"/>
    <sheet name="AYLIK 3 AYLIK FARK" sheetId="43" state="hidden" r:id="rId8"/>
    <sheet name="riziko primi hesaplama toplam" sheetId="42" state="hidden" r:id="rId9"/>
    <sheet name="NEMA REEL GETİRİ" sheetId="41" state="hidden" r:id="rId10"/>
    <sheet name="MASRAF VE RİZİKO" sheetId="27" state="hidden" r:id="rId11"/>
    <sheet name="MASRAF KESİNTİ ORANININ DÜŞÜRÜL" sheetId="30" state="hidden" r:id="rId12"/>
    <sheet name="Sayfa2" sheetId="26" state="hidden" r:id="rId13"/>
    <sheet name="Sayfa1" sheetId="22" state="hidden" r:id="rId14"/>
    <sheet name="GİRDİ SEKMESİ" sheetId="18" state="hidden" r:id="rId15"/>
    <sheet name=" 2022 KONTROL SEKMESİ" sheetId="17" state="hidden" r:id="rId16"/>
    <sheet name="MAAŞ ORANI KARAR VERME" sheetId="29" r:id="rId17"/>
    <sheet name="TAMAMLAMA DENEY HESABI" sheetId="31" state="hidden" r:id="rId18"/>
    <sheet name=" tamamlama deney örnek kişi" sheetId="33" state="hidden" r:id="rId19"/>
    <sheet name=" tamamlama deney zafer" sheetId="34" state="hidden" r:id="rId20"/>
    <sheet name="Sayfa6" sheetId="35" state="hidden" r:id="rId21"/>
    <sheet name="şirket değer hesaplama" sheetId="36" state="hidden" r:id="rId22"/>
    <sheet name="şirket değer hesaplama ERSAN" sheetId="39" state="hidden" r:id="rId23"/>
    <sheet name="şirket değer hesaplama zafer" sheetId="38" state="hidden" r:id="rId24"/>
    <sheet name="5 YILLIK YENİ MAAŞ VE REZERV " sheetId="19" state="hidden" r:id="rId25"/>
  </sheets>
  <calcPr calcId="191029"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25" l="1"/>
  <c r="D9" i="29"/>
  <c r="B9" i="29"/>
  <c r="L37" i="16"/>
  <c r="AB16" i="25"/>
  <c r="AA9" i="25"/>
  <c r="AA8" i="25"/>
  <c r="AA7" i="25"/>
  <c r="AA4" i="25"/>
  <c r="E26" i="41" l="1"/>
  <c r="L17" i="16" l="1"/>
  <c r="K73" i="16" s="1"/>
  <c r="E50" i="32"/>
  <c r="B10" i="21"/>
  <c r="B9" i="21"/>
  <c r="B3" i="21"/>
  <c r="C53" i="43" l="1"/>
  <c r="D49" i="43"/>
  <c r="D32" i="43"/>
  <c r="C32" i="43"/>
  <c r="C31" i="43"/>
  <c r="D28" i="43"/>
  <c r="C28" i="43"/>
  <c r="C29" i="43" s="1"/>
  <c r="B10" i="43"/>
  <c r="B9" i="43"/>
  <c r="B5" i="43"/>
  <c r="B4" i="43"/>
  <c r="B3" i="43"/>
  <c r="K17" i="16"/>
  <c r="K72" i="16" s="1"/>
  <c r="B25" i="30"/>
  <c r="D26" i="30"/>
  <c r="B27" i="30"/>
  <c r="B26" i="30"/>
  <c r="M3" i="42"/>
  <c r="L28" i="42"/>
  <c r="K17" i="42"/>
  <c r="F27" i="42"/>
  <c r="J20" i="42" s="1"/>
  <c r="L32" i="42"/>
  <c r="I29" i="42"/>
  <c r="I28" i="42"/>
  <c r="F22" i="42"/>
  <c r="G20" i="42"/>
  <c r="L26" i="42"/>
  <c r="G3" i="42"/>
  <c r="I3" i="42" s="1"/>
  <c r="J3" i="42" s="1"/>
  <c r="E11" i="42"/>
  <c r="E2" i="42"/>
  <c r="E7" i="42"/>
  <c r="G7" i="42" s="1"/>
  <c r="I7" i="42" s="1"/>
  <c r="J7" i="42" s="1"/>
  <c r="K7" i="42" s="1"/>
  <c r="G11" i="42"/>
  <c r="I11" i="42" s="1"/>
  <c r="J11" i="42" s="1"/>
  <c r="K11" i="42" s="1"/>
  <c r="E25" i="41"/>
  <c r="E24" i="41"/>
  <c r="E23" i="41"/>
  <c r="E22" i="41"/>
  <c r="E21" i="41"/>
  <c r="E20" i="41"/>
  <c r="E19" i="41"/>
  <c r="E18" i="41"/>
  <c r="E17" i="41"/>
  <c r="E16" i="41"/>
  <c r="E15" i="41"/>
  <c r="E14" i="41"/>
  <c r="E13" i="41"/>
  <c r="E12" i="41"/>
  <c r="E11" i="41"/>
  <c r="E10" i="41"/>
  <c r="E9" i="41"/>
  <c r="E8" i="41"/>
  <c r="E7" i="41"/>
  <c r="E6" i="41"/>
  <c r="E5" i="41"/>
  <c r="G26" i="41"/>
  <c r="I26" i="41"/>
  <c r="D26" i="41"/>
  <c r="G25" i="41"/>
  <c r="D25" i="41"/>
  <c r="I25" i="41" s="1"/>
  <c r="G24" i="41"/>
  <c r="D24" i="41"/>
  <c r="I24" i="41" s="1"/>
  <c r="G23" i="41"/>
  <c r="D23" i="41"/>
  <c r="I23" i="41" s="1"/>
  <c r="G22" i="41"/>
  <c r="D22" i="41"/>
  <c r="I22" i="41" s="1"/>
  <c r="G21" i="41"/>
  <c r="D21" i="41"/>
  <c r="I21" i="41" s="1"/>
  <c r="G20" i="41"/>
  <c r="D20" i="41"/>
  <c r="I20" i="41" s="1"/>
  <c r="G19" i="41"/>
  <c r="D19" i="41"/>
  <c r="I19" i="41" s="1"/>
  <c r="G18" i="41"/>
  <c r="D18" i="41"/>
  <c r="I18" i="41" s="1"/>
  <c r="G17" i="41"/>
  <c r="D17" i="41"/>
  <c r="I17" i="41" s="1"/>
  <c r="G16" i="41"/>
  <c r="D16" i="41"/>
  <c r="I16" i="41" s="1"/>
  <c r="G15" i="41"/>
  <c r="D15" i="41"/>
  <c r="I15" i="41" s="1"/>
  <c r="G14" i="41"/>
  <c r="D14" i="41"/>
  <c r="I14" i="41" s="1"/>
  <c r="G13" i="41"/>
  <c r="D13" i="41"/>
  <c r="I13" i="41" s="1"/>
  <c r="G12" i="41"/>
  <c r="D12" i="41"/>
  <c r="I12" i="41" s="1"/>
  <c r="G11" i="41"/>
  <c r="D11" i="41"/>
  <c r="I11" i="41" s="1"/>
  <c r="G10" i="41"/>
  <c r="D10" i="41"/>
  <c r="I10" i="41" s="1"/>
  <c r="G9" i="41"/>
  <c r="D9" i="41"/>
  <c r="I9" i="41" s="1"/>
  <c r="G8" i="41"/>
  <c r="D8" i="41"/>
  <c r="I8" i="41" s="1"/>
  <c r="G7" i="41"/>
  <c r="D7" i="41"/>
  <c r="I7" i="41" s="1"/>
  <c r="G6" i="41"/>
  <c r="D6" i="41"/>
  <c r="I6" i="41" s="1"/>
  <c r="G5" i="41"/>
  <c r="D5" i="41"/>
  <c r="I5" i="41" s="1"/>
  <c r="L105" i="32"/>
  <c r="L104" i="32"/>
  <c r="L103" i="32"/>
  <c r="L102" i="32"/>
  <c r="L101" i="32"/>
  <c r="L100" i="32"/>
  <c r="L99" i="32"/>
  <c r="L98" i="32"/>
  <c r="L97" i="32"/>
  <c r="L96" i="32"/>
  <c r="L95" i="32"/>
  <c r="L94" i="32"/>
  <c r="L93" i="32"/>
  <c r="L92" i="32"/>
  <c r="L91" i="32"/>
  <c r="L90" i="32"/>
  <c r="L89" i="32"/>
  <c r="L88" i="32"/>
  <c r="L87" i="32"/>
  <c r="L86" i="32"/>
  <c r="L85" i="32"/>
  <c r="L84" i="32"/>
  <c r="J105" i="32"/>
  <c r="J103" i="32"/>
  <c r="J102" i="32"/>
  <c r="J101" i="32"/>
  <c r="J100" i="32"/>
  <c r="J99" i="32"/>
  <c r="J98" i="32"/>
  <c r="J97" i="32"/>
  <c r="J96" i="32"/>
  <c r="J95" i="32"/>
  <c r="J94" i="32"/>
  <c r="J93" i="32"/>
  <c r="J92" i="32"/>
  <c r="J91" i="32"/>
  <c r="J90" i="32"/>
  <c r="J89" i="32"/>
  <c r="J88" i="32"/>
  <c r="J87" i="32"/>
  <c r="J86" i="32"/>
  <c r="J85" i="32"/>
  <c r="J84" i="32"/>
  <c r="I105" i="32"/>
  <c r="I104" i="32"/>
  <c r="J104" i="32" s="1"/>
  <c r="I103" i="32"/>
  <c r="I102" i="32"/>
  <c r="I101" i="32"/>
  <c r="I100" i="32"/>
  <c r="I99" i="32"/>
  <c r="I98" i="32"/>
  <c r="I97" i="32"/>
  <c r="I96" i="32"/>
  <c r="I95" i="32"/>
  <c r="I94" i="32"/>
  <c r="I93" i="32"/>
  <c r="I92" i="32"/>
  <c r="I91" i="32"/>
  <c r="I90" i="32"/>
  <c r="I89" i="32"/>
  <c r="I88" i="32"/>
  <c r="I87" i="32"/>
  <c r="I86" i="32"/>
  <c r="I85" i="32"/>
  <c r="I84" i="32"/>
  <c r="C35" i="43" l="1"/>
  <c r="K3" i="42"/>
  <c r="M4" i="42"/>
  <c r="M5" i="42" s="1"/>
  <c r="L20" i="42" s="1"/>
  <c r="C15" i="42"/>
  <c r="G15" i="42" s="1"/>
  <c r="J15" i="42" s="1"/>
  <c r="K16" i="16"/>
  <c r="X11" i="20"/>
  <c r="C4" i="30"/>
  <c r="G27" i="32"/>
  <c r="G50" i="32"/>
  <c r="D17" i="16"/>
  <c r="B4" i="21"/>
  <c r="D17" i="39"/>
  <c r="D18" i="39" s="1"/>
  <c r="D40" i="40"/>
  <c r="D42" i="40" s="1"/>
  <c r="D34" i="40"/>
  <c r="E33" i="40" s="1"/>
  <c r="N9" i="40"/>
  <c r="E8" i="40"/>
  <c r="E10" i="40" s="1"/>
  <c r="D8" i="40"/>
  <c r="D10" i="40" s="1"/>
  <c r="O4" i="40"/>
  <c r="E25" i="40" s="1"/>
  <c r="L4" i="40"/>
  <c r="H4" i="40" s="1"/>
  <c r="J4" i="40"/>
  <c r="J4" i="38"/>
  <c r="N4" i="38"/>
  <c r="E29" i="38"/>
  <c r="E24" i="38"/>
  <c r="E25" i="38"/>
  <c r="M10" i="38"/>
  <c r="M11" i="38"/>
  <c r="N11" i="38"/>
  <c r="N9" i="38"/>
  <c r="E26" i="39"/>
  <c r="D25" i="39"/>
  <c r="D26" i="39"/>
  <c r="D26" i="38"/>
  <c r="D16" i="39"/>
  <c r="D15" i="39" s="1"/>
  <c r="D31" i="39"/>
  <c r="D33" i="39" s="1"/>
  <c r="N9" i="39"/>
  <c r="N10" i="39" s="1"/>
  <c r="D8" i="39"/>
  <c r="E8" i="39" s="1"/>
  <c r="E10" i="39" s="1"/>
  <c r="D6" i="39"/>
  <c r="D9" i="39" s="1"/>
  <c r="O5" i="39"/>
  <c r="Q4" i="39"/>
  <c r="O4" i="39"/>
  <c r="E16" i="39" s="1"/>
  <c r="N4" i="39"/>
  <c r="E20" i="39" s="1"/>
  <c r="L4" i="39"/>
  <c r="H4" i="39" s="1"/>
  <c r="J5" i="39" s="1"/>
  <c r="D32" i="38"/>
  <c r="D34" i="38" s="1"/>
  <c r="L4" i="38"/>
  <c r="H4" i="38" s="1"/>
  <c r="O4" i="38"/>
  <c r="Q4" i="38" s="1"/>
  <c r="E8" i="38"/>
  <c r="E10" i="38" s="1"/>
  <c r="D8" i="38"/>
  <c r="D29" i="36"/>
  <c r="E29" i="36"/>
  <c r="N4" i="36"/>
  <c r="N6" i="36"/>
  <c r="O5" i="36" s="1"/>
  <c r="D8" i="36"/>
  <c r="D10" i="36" s="1"/>
  <c r="D11" i="36" s="1"/>
  <c r="F9" i="35"/>
  <c r="F4" i="35"/>
  <c r="F16" i="35"/>
  <c r="F6" i="35"/>
  <c r="F5" i="35"/>
  <c r="F3" i="35"/>
  <c r="F10" i="35"/>
  <c r="F18" i="35"/>
  <c r="F17" i="35"/>
  <c r="F15" i="35"/>
  <c r="F11" i="35"/>
  <c r="F12" i="35"/>
  <c r="G49" i="32"/>
  <c r="G48" i="32"/>
  <c r="G47" i="32"/>
  <c r="G46" i="32"/>
  <c r="G45" i="32"/>
  <c r="G44" i="32"/>
  <c r="G43" i="32"/>
  <c r="G42" i="32"/>
  <c r="G41" i="32"/>
  <c r="G40" i="32"/>
  <c r="G39" i="32"/>
  <c r="G38" i="32"/>
  <c r="G37" i="32"/>
  <c r="G36" i="32"/>
  <c r="G35" i="32"/>
  <c r="G34" i="32"/>
  <c r="G33" i="32"/>
  <c r="G32" i="32"/>
  <c r="G31" i="32"/>
  <c r="G30" i="32"/>
  <c r="G29" i="32"/>
  <c r="G6" i="32"/>
  <c r="G26" i="32"/>
  <c r="G7" i="32"/>
  <c r="G8" i="32"/>
  <c r="G10" i="32"/>
  <c r="G9" i="32"/>
  <c r="G14" i="32"/>
  <c r="G20" i="32"/>
  <c r="G25" i="32"/>
  <c r="G12" i="32"/>
  <c r="G19" i="32"/>
  <c r="G16" i="32"/>
  <c r="G21" i="32"/>
  <c r="G13" i="32"/>
  <c r="G18" i="32"/>
  <c r="G17" i="32"/>
  <c r="G23" i="32"/>
  <c r="G22" i="32"/>
  <c r="G11" i="32"/>
  <c r="G24" i="32"/>
  <c r="G15" i="32"/>
  <c r="B1" i="43" l="1"/>
  <c r="K69" i="16"/>
  <c r="K18" i="16"/>
  <c r="C36" i="43"/>
  <c r="D36" i="43" s="1"/>
  <c r="D35" i="43"/>
  <c r="D48" i="43" s="1"/>
  <c r="K21" i="42"/>
  <c r="L23" i="42" s="1"/>
  <c r="Q4" i="40"/>
  <c r="N4" i="40"/>
  <c r="P4" i="40" s="1"/>
  <c r="D26" i="40"/>
  <c r="D25" i="40"/>
  <c r="D35" i="40"/>
  <c r="H5" i="40"/>
  <c r="J5" i="40"/>
  <c r="D6" i="40"/>
  <c r="D27" i="38"/>
  <c r="H5" i="38"/>
  <c r="J5" i="38"/>
  <c r="D32" i="39"/>
  <c r="D10" i="39"/>
  <c r="D11" i="39" s="1"/>
  <c r="L5" i="39"/>
  <c r="P4" i="39"/>
  <c r="D10" i="38"/>
  <c r="E8" i="36"/>
  <c r="D12" i="43" l="1"/>
  <c r="B2" i="43"/>
  <c r="D50" i="43"/>
  <c r="D51" i="43" s="1"/>
  <c r="D52" i="43" s="1"/>
  <c r="C37" i="43"/>
  <c r="D37" i="43" s="1"/>
  <c r="M32" i="42"/>
  <c r="L24" i="42"/>
  <c r="L31" i="42"/>
  <c r="M31" i="42" s="1"/>
  <c r="L5" i="40"/>
  <c r="E29" i="40"/>
  <c r="O5" i="40"/>
  <c r="N10" i="40"/>
  <c r="M11" i="40" s="1"/>
  <c r="D11" i="40"/>
  <c r="D9" i="40"/>
  <c r="E6" i="40"/>
  <c r="M10" i="40"/>
  <c r="D36" i="40"/>
  <c r="D37" i="40"/>
  <c r="M39" i="40"/>
  <c r="K29" i="40"/>
  <c r="B25" i="40"/>
  <c r="K44" i="40"/>
  <c r="O39" i="40"/>
  <c r="M29" i="40"/>
  <c r="O29" i="40" s="1"/>
  <c r="M34" i="40"/>
  <c r="O34" i="40" s="1"/>
  <c r="M24" i="40"/>
  <c r="O24" i="40" s="1"/>
  <c r="K39" i="40"/>
  <c r="K34" i="40"/>
  <c r="K24" i="40"/>
  <c r="K45" i="40"/>
  <c r="M40" i="40"/>
  <c r="O40" i="40" s="1"/>
  <c r="K35" i="40"/>
  <c r="D30" i="40"/>
  <c r="B26" i="40"/>
  <c r="K30" i="40"/>
  <c r="K40" i="40"/>
  <c r="M30" i="40"/>
  <c r="O30" i="40" s="1"/>
  <c r="M25" i="40"/>
  <c r="O25" i="40" s="1"/>
  <c r="M35" i="40"/>
  <c r="O35" i="40" s="1"/>
  <c r="K25" i="40"/>
  <c r="N10" i="38"/>
  <c r="O5" i="38"/>
  <c r="L5" i="38"/>
  <c r="E21" i="38"/>
  <c r="D6" i="38"/>
  <c r="D34" i="39"/>
  <c r="D27" i="39"/>
  <c r="E27" i="39"/>
  <c r="E29" i="39" s="1"/>
  <c r="D28" i="39"/>
  <c r="D29" i="39" s="1"/>
  <c r="K36" i="39"/>
  <c r="M31" i="39"/>
  <c r="O31" i="39" s="1"/>
  <c r="D21" i="39"/>
  <c r="B17" i="39"/>
  <c r="M26" i="39"/>
  <c r="O26" i="39" s="1"/>
  <c r="K16" i="39"/>
  <c r="K31" i="39"/>
  <c r="M21" i="39"/>
  <c r="O21" i="39" s="1"/>
  <c r="K21" i="39"/>
  <c r="M16" i="39"/>
  <c r="O16" i="39" s="1"/>
  <c r="K26" i="39"/>
  <c r="M30" i="39"/>
  <c r="O30" i="39" s="1"/>
  <c r="K25" i="39"/>
  <c r="B16" i="39"/>
  <c r="K30" i="39"/>
  <c r="K15" i="39"/>
  <c r="K35" i="39"/>
  <c r="M25" i="39"/>
  <c r="O25" i="39" s="1"/>
  <c r="M20" i="39"/>
  <c r="O20" i="39" s="1"/>
  <c r="D20" i="39"/>
  <c r="K20" i="39"/>
  <c r="M15" i="39"/>
  <c r="O15" i="39" s="1"/>
  <c r="D9" i="36"/>
  <c r="D16" i="36"/>
  <c r="E10" i="36"/>
  <c r="D17" i="36" s="1"/>
  <c r="D55" i="43" l="1"/>
  <c r="D54" i="43" s="1"/>
  <c r="C54" i="43" s="1"/>
  <c r="C38" i="43"/>
  <c r="D38" i="43" s="1"/>
  <c r="B30" i="40"/>
  <c r="N11" i="40"/>
  <c r="P34" i="40"/>
  <c r="Q34" i="40" s="1"/>
  <c r="P24" i="40"/>
  <c r="Q24" i="40" s="1"/>
  <c r="P39" i="40"/>
  <c r="Q39" i="40" s="1"/>
  <c r="D41" i="40"/>
  <c r="D29" i="40"/>
  <c r="B29" i="40" s="1"/>
  <c r="P29" i="40"/>
  <c r="Q29" i="40" s="1"/>
  <c r="H30" i="40"/>
  <c r="D43" i="40"/>
  <c r="E37" i="40"/>
  <c r="D32" i="40"/>
  <c r="E6" i="38"/>
  <c r="D11" i="38"/>
  <c r="D35" i="38" s="1"/>
  <c r="D9" i="38"/>
  <c r="P20" i="39"/>
  <c r="Q20" i="39" s="1"/>
  <c r="B21" i="39"/>
  <c r="H21" i="39"/>
  <c r="E34" i="39" s="1"/>
  <c r="P15" i="39"/>
  <c r="Q15" i="39" s="1"/>
  <c r="B20" i="39"/>
  <c r="H20" i="39"/>
  <c r="P25" i="39"/>
  <c r="Q25" i="39" s="1"/>
  <c r="P30" i="39"/>
  <c r="Q30" i="39" s="1"/>
  <c r="M31" i="36"/>
  <c r="M21" i="36"/>
  <c r="O21" i="36" s="1"/>
  <c r="O31" i="36"/>
  <c r="M26" i="36"/>
  <c r="O26" i="36" s="1"/>
  <c r="K26" i="36"/>
  <c r="K31" i="36"/>
  <c r="K21" i="36"/>
  <c r="M16" i="36"/>
  <c r="K25" i="36"/>
  <c r="M15" i="36"/>
  <c r="K20" i="36"/>
  <c r="M30" i="36"/>
  <c r="O30" i="36" s="1"/>
  <c r="M20" i="36"/>
  <c r="M25" i="36"/>
  <c r="K30" i="36"/>
  <c r="K16" i="36"/>
  <c r="O20" i="36"/>
  <c r="O25" i="36"/>
  <c r="K15" i="36"/>
  <c r="D21" i="36"/>
  <c r="D20" i="36"/>
  <c r="H20" i="36" s="1"/>
  <c r="E16" i="36"/>
  <c r="B17" i="36" s="1"/>
  <c r="D56" i="43" l="1"/>
  <c r="C39" i="43"/>
  <c r="Q21" i="40"/>
  <c r="Q46" i="40" s="1"/>
  <c r="M45" i="40" s="1"/>
  <c r="O45" i="40" s="1"/>
  <c r="E43" i="40"/>
  <c r="D38" i="40"/>
  <c r="E32" i="40"/>
  <c r="E35" i="40"/>
  <c r="E36" i="40" s="1"/>
  <c r="E38" i="40" s="1"/>
  <c r="H29" i="40"/>
  <c r="D33" i="38"/>
  <c r="Q12" i="39"/>
  <c r="Q37" i="39" s="1"/>
  <c r="M36" i="39" s="1"/>
  <c r="O36" i="39" s="1"/>
  <c r="N12" i="39"/>
  <c r="N37" i="39" s="1"/>
  <c r="M35" i="39" s="1"/>
  <c r="O35" i="39" s="1"/>
  <c r="E32" i="39"/>
  <c r="O15" i="36"/>
  <c r="P30" i="36"/>
  <c r="Q30" i="36" s="1"/>
  <c r="P25" i="36"/>
  <c r="B16" i="36"/>
  <c r="Q25" i="36"/>
  <c r="H21" i="36"/>
  <c r="O16" i="36" s="1"/>
  <c r="P20" i="36"/>
  <c r="Q20" i="36" s="1"/>
  <c r="E20" i="36"/>
  <c r="D26" i="36" s="1"/>
  <c r="C40" i="43" l="1"/>
  <c r="D39" i="43"/>
  <c r="P35" i="39"/>
  <c r="Q35" i="39" s="1"/>
  <c r="E41" i="40"/>
  <c r="N21" i="40"/>
  <c r="N46" i="40" s="1"/>
  <c r="M44" i="40" s="1"/>
  <c r="O44" i="40" s="1"/>
  <c r="P44" i="40" s="1"/>
  <c r="Q44" i="40" s="1"/>
  <c r="D28" i="38"/>
  <c r="D29" i="38"/>
  <c r="P15" i="36"/>
  <c r="Q15" i="36" s="1"/>
  <c r="B21" i="36"/>
  <c r="B20" i="36"/>
  <c r="D28" i="36"/>
  <c r="D27" i="36"/>
  <c r="E26" i="36"/>
  <c r="C41" i="43" l="1"/>
  <c r="D40" i="43"/>
  <c r="D24" i="38"/>
  <c r="E27" i="38" s="1"/>
  <c r="E28" i="38" s="1"/>
  <c r="E30" i="38" s="1"/>
  <c r="E27" i="36"/>
  <c r="C42" i="43" l="1"/>
  <c r="D42" i="43" s="1"/>
  <c r="D41" i="43"/>
  <c r="D30" i="38"/>
  <c r="E13" i="34"/>
  <c r="C6" i="33"/>
  <c r="C5" i="33"/>
  <c r="G10" i="33"/>
  <c r="K5" i="33"/>
  <c r="C3" i="34"/>
  <c r="C2" i="34"/>
  <c r="C1" i="34"/>
  <c r="D10" i="34"/>
  <c r="P4" i="33"/>
  <c r="H12" i="33"/>
  <c r="F11" i="31"/>
  <c r="C12" i="33"/>
  <c r="C11" i="33"/>
  <c r="E10" i="33"/>
  <c r="B10" i="33" s="1"/>
  <c r="D10" i="33"/>
  <c r="Q11" i="31"/>
  <c r="N11" i="31"/>
  <c r="Q10" i="31"/>
  <c r="N10" i="31"/>
  <c r="K6" i="31"/>
  <c r="K5" i="31"/>
  <c r="E10" i="31"/>
  <c r="F17" i="31"/>
  <c r="B10" i="31"/>
  <c r="C19" i="29"/>
  <c r="B19" i="29"/>
  <c r="C43" i="43" l="1"/>
  <c r="D4" i="34"/>
  <c r="E10" i="34"/>
  <c r="B10" i="34" s="1"/>
  <c r="H12" i="34"/>
  <c r="I12" i="34" s="1"/>
  <c r="D3" i="34"/>
  <c r="D19" i="29"/>
  <c r="N10" i="33"/>
  <c r="N11" i="33" s="1"/>
  <c r="Q10" i="33"/>
  <c r="Q11" i="33" s="1"/>
  <c r="N4" i="20"/>
  <c r="C44" i="43" l="1"/>
  <c r="D43" i="43"/>
  <c r="C6" i="34"/>
  <c r="C5" i="34"/>
  <c r="I13" i="34"/>
  <c r="I14" i="34" s="1"/>
  <c r="Q11" i="34"/>
  <c r="Q12" i="34" s="1"/>
  <c r="G2" i="34"/>
  <c r="G3" i="34" s="1"/>
  <c r="G4" i="34" s="1"/>
  <c r="G5" i="34" s="1"/>
  <c r="G6" i="34" s="1"/>
  <c r="G7" i="34" s="1"/>
  <c r="G8" i="34" s="1"/>
  <c r="G9" i="34" s="1"/>
  <c r="G10" i="34" s="1"/>
  <c r="G11" i="34" s="1"/>
  <c r="G12" i="34" s="1"/>
  <c r="G13" i="34" s="1"/>
  <c r="J12" i="34"/>
  <c r="G19" i="29"/>
  <c r="I19" i="29" s="1"/>
  <c r="E19" i="29"/>
  <c r="C11" i="34"/>
  <c r="F17" i="33"/>
  <c r="C45" i="43" l="1"/>
  <c r="D44" i="43"/>
  <c r="F9" i="29"/>
  <c r="P4" i="34"/>
  <c r="F17" i="34"/>
  <c r="D14" i="27"/>
  <c r="D13" i="27"/>
  <c r="D12" i="27"/>
  <c r="D11" i="27"/>
  <c r="O11" i="27" s="1"/>
  <c r="D10" i="27"/>
  <c r="O10" i="27" s="1"/>
  <c r="C46" i="43" l="1"/>
  <c r="C47" i="43" s="1"/>
  <c r="D57" i="43" s="1"/>
  <c r="D45" i="43"/>
  <c r="J7" i="27"/>
  <c r="J10" i="27"/>
  <c r="C6" i="30" s="1" a="1"/>
  <c r="C6" i="30" s="1"/>
  <c r="F7" i="20"/>
  <c r="H7" i="20"/>
  <c r="D58" i="43" l="1"/>
  <c r="C57" i="43"/>
  <c r="D46" i="43"/>
  <c r="C8" i="30"/>
  <c r="C13" i="30" s="1"/>
  <c r="C16" i="30" s="1"/>
  <c r="P10" i="27"/>
  <c r="N10" i="27" s="1"/>
  <c r="H17" i="16"/>
  <c r="G16" i="16"/>
  <c r="C16" i="16"/>
  <c r="M8" i="20"/>
  <c r="J16" i="20" s="1"/>
  <c r="M4" i="20"/>
  <c r="N3" i="20"/>
  <c r="L3" i="20"/>
  <c r="U7" i="20"/>
  <c r="U6" i="20"/>
  <c r="N8" i="20"/>
  <c r="G4" i="16" s="1"/>
  <c r="L8" i="20"/>
  <c r="G3" i="16" s="1"/>
  <c r="N7" i="20"/>
  <c r="M7" i="20"/>
  <c r="L7" i="20"/>
  <c r="N6" i="20"/>
  <c r="M6" i="20"/>
  <c r="L6" i="20"/>
  <c r="N5" i="20"/>
  <c r="M5" i="20"/>
  <c r="L5" i="20"/>
  <c r="L4" i="20"/>
  <c r="E5" i="20"/>
  <c r="W3" i="20" s="1"/>
  <c r="C3" i="20"/>
  <c r="J9" i="20" s="1"/>
  <c r="E7" i="20"/>
  <c r="D7" i="20"/>
  <c r="F6" i="20"/>
  <c r="E6" i="20"/>
  <c r="D6" i="20"/>
  <c r="M42" i="16"/>
  <c r="AC37" i="16"/>
  <c r="K56" i="16"/>
  <c r="K55" i="16"/>
  <c r="J11" i="20"/>
  <c r="R10" i="27" l="1"/>
  <c r="N23" i="27"/>
  <c r="O23" i="27" s="1"/>
  <c r="J12" i="20"/>
  <c r="X12" i="20"/>
  <c r="P11" i="27"/>
  <c r="N11" i="27" s="1"/>
  <c r="R11" i="27" s="1"/>
  <c r="G2" i="16"/>
  <c r="W42" i="16" s="1"/>
  <c r="Z6" i="20"/>
  <c r="X16" i="20"/>
  <c r="D51" i="16"/>
  <c r="E51" i="16" s="1"/>
  <c r="J11" i="27" l="1"/>
  <c r="C10" i="30" s="1" a="1"/>
  <c r="C10" i="30" s="1"/>
  <c r="O12" i="27"/>
  <c r="P12" i="27" s="1"/>
  <c r="J12" i="27" s="1"/>
  <c r="E10" i="19"/>
  <c r="W20" i="16"/>
  <c r="V50" i="16" s="1"/>
  <c r="X50" i="16" s="1"/>
  <c r="Y50" i="16" s="1"/>
  <c r="J13" i="20"/>
  <c r="J14" i="20"/>
  <c r="J15" i="20"/>
  <c r="C3" i="18"/>
  <c r="H6" i="18" a="1"/>
  <c r="H6" i="18" s="1"/>
  <c r="E8" i="17" a="1"/>
  <c r="E8" i="17" s="1"/>
  <c r="F43" i="17" s="1"/>
  <c r="D5" i="17"/>
  <c r="C5" i="17"/>
  <c r="N12" i="27" l="1"/>
  <c r="W21" i="16"/>
  <c r="X21" i="16"/>
  <c r="G43" i="17"/>
  <c r="D25" i="17"/>
  <c r="G17" i="16"/>
  <c r="E42" i="17"/>
  <c r="T4" i="20"/>
  <c r="O13" i="27" l="1"/>
  <c r="P13" i="27" s="1"/>
  <c r="J13" i="27" s="1"/>
  <c r="F7" i="18"/>
  <c r="E7" i="18"/>
  <c r="D7" i="18"/>
  <c r="C7" i="18"/>
  <c r="F6" i="18"/>
  <c r="N2" i="17" s="1"/>
  <c r="E6" i="18"/>
  <c r="N13" i="27" l="1"/>
  <c r="C29" i="17"/>
  <c r="O14" i="27" l="1"/>
  <c r="P14" i="27" s="1"/>
  <c r="J14" i="27" s="1"/>
  <c r="X15" i="20"/>
  <c r="X14" i="20"/>
  <c r="X13" i="20"/>
  <c r="N14" i="27" l="1"/>
  <c r="F4" i="16"/>
  <c r="E4" i="16"/>
  <c r="D4" i="16"/>
  <c r="C4" i="16"/>
  <c r="B4" i="16"/>
  <c r="F3" i="16"/>
  <c r="E3" i="16"/>
  <c r="D3" i="16"/>
  <c r="C3" i="16"/>
  <c r="B3" i="16"/>
  <c r="F2" i="16"/>
  <c r="E2" i="16"/>
  <c r="D2" i="16"/>
  <c r="C2" i="16"/>
  <c r="G20" i="16" s="1"/>
  <c r="B2" i="16"/>
  <c r="D6" i="18"/>
  <c r="H7" i="18" s="1"/>
  <c r="C6" i="18"/>
  <c r="D5" i="18"/>
  <c r="C42" i="16" l="1"/>
  <c r="C1" i="19" l="1"/>
  <c r="N3" i="17" l="1"/>
  <c r="P3" i="17" s="1"/>
  <c r="Q3" i="17" s="1"/>
  <c r="D39" i="18"/>
  <c r="C39" i="18" s="1"/>
  <c r="D38" i="18"/>
  <c r="C38" i="18" s="1"/>
  <c r="F38" i="18" s="1"/>
  <c r="D37" i="18"/>
  <c r="C37" i="18" s="1"/>
  <c r="D36" i="18"/>
  <c r="C36" i="18" s="1"/>
  <c r="F36" i="18" s="1"/>
  <c r="D35" i="18"/>
  <c r="C35" i="18" s="1"/>
  <c r="D34" i="18"/>
  <c r="C34" i="18" s="1"/>
  <c r="F34" i="18" s="1"/>
  <c r="D33" i="18"/>
  <c r="C33" i="18" s="1"/>
  <c r="D32" i="18"/>
  <c r="C32" i="18" s="1"/>
  <c r="F32" i="18" s="1"/>
  <c r="D31" i="18"/>
  <c r="C31" i="18" s="1"/>
  <c r="D30" i="18"/>
  <c r="C30" i="18" s="1"/>
  <c r="F30" i="18" s="1"/>
  <c r="D29" i="18"/>
  <c r="C29" i="18" s="1"/>
  <c r="D28" i="18"/>
  <c r="C28" i="18" s="1"/>
  <c r="F28" i="18" s="1"/>
  <c r="D27" i="18"/>
  <c r="C27" i="18" s="1"/>
  <c r="D26" i="18"/>
  <c r="C26" i="18" s="1"/>
  <c r="F26" i="18" s="1"/>
  <c r="D25" i="18"/>
  <c r="C25" i="18" s="1"/>
  <c r="D24" i="18"/>
  <c r="C24" i="18" s="1"/>
  <c r="F24" i="18" s="1"/>
  <c r="D23" i="18"/>
  <c r="C23" i="18" s="1"/>
  <c r="D22" i="18"/>
  <c r="C22" i="18" s="1"/>
  <c r="F22" i="18" s="1"/>
  <c r="D21" i="18"/>
  <c r="C21" i="18" s="1"/>
  <c r="D20" i="18"/>
  <c r="C20" i="18" s="1"/>
  <c r="F20" i="18" s="1"/>
  <c r="G20" i="18" s="1"/>
  <c r="H20" i="18" s="1"/>
  <c r="G28" i="18" l="1"/>
  <c r="H28" i="18" s="1"/>
  <c r="I28" i="18" s="1"/>
  <c r="J25" i="17" s="1"/>
  <c r="G32" i="18"/>
  <c r="H32" i="18" s="1"/>
  <c r="I32" i="18" s="1"/>
  <c r="P6" i="18" s="1"/>
  <c r="G24" i="18"/>
  <c r="H24" i="18" s="1"/>
  <c r="I24" i="18" s="1"/>
  <c r="L25" i="17" s="1"/>
  <c r="G36" i="18"/>
  <c r="H36" i="18" s="1"/>
  <c r="I36" i="18" s="1"/>
  <c r="F25" i="17" s="1"/>
  <c r="G38" i="18"/>
  <c r="H38" i="18" s="1"/>
  <c r="I38" i="18" s="1"/>
  <c r="S6" i="18" s="1"/>
  <c r="G30" i="18"/>
  <c r="H30" i="18" s="1"/>
  <c r="I30" i="18" s="1"/>
  <c r="O6" i="18" s="1"/>
  <c r="G22" i="18"/>
  <c r="H22" i="18" s="1"/>
  <c r="I22" i="18" s="1"/>
  <c r="M25" i="17" s="1"/>
  <c r="G34" i="18"/>
  <c r="H34" i="18" s="1"/>
  <c r="I34" i="18" s="1"/>
  <c r="G25" i="17" s="1"/>
  <c r="I20" i="18"/>
  <c r="N25" i="17" s="1"/>
  <c r="G33" i="17" s="1"/>
  <c r="O11" i="18"/>
  <c r="R2" i="17"/>
  <c r="S2" i="17" s="1"/>
  <c r="G10" i="17" s="1"/>
  <c r="G26" i="18"/>
  <c r="H26" i="18" s="1"/>
  <c r="I26" i="18" s="1"/>
  <c r="K25" i="17" s="1"/>
  <c r="N6" i="18"/>
  <c r="K6" i="18" l="1"/>
  <c r="I25" i="17"/>
  <c r="E25" i="17"/>
  <c r="J6" i="18"/>
  <c r="Q6" i="18"/>
  <c r="H25" i="17"/>
  <c r="R6" i="18"/>
  <c r="L6" i="18"/>
  <c r="M6" i="18"/>
  <c r="M3" i="18" l="1"/>
  <c r="O3" i="18" s="1"/>
  <c r="P3" i="18" s="1"/>
  <c r="C20" i="16" l="1"/>
  <c r="D21" i="16" s="1"/>
  <c r="I29" i="16" s="1"/>
  <c r="I30" i="16" s="1"/>
  <c r="I31" i="16" s="1"/>
  <c r="I32" i="16" s="1"/>
  <c r="I33" i="16" s="1"/>
  <c r="I34" i="16" s="1"/>
  <c r="I35" i="16" s="1"/>
  <c r="S42" i="16" l="1"/>
  <c r="O42" i="16"/>
  <c r="K42" i="16"/>
  <c r="G42" i="16"/>
  <c r="D11" i="16"/>
  <c r="D10" i="16"/>
  <c r="D9" i="16"/>
  <c r="D8" i="16"/>
  <c r="D7" i="16"/>
  <c r="P2" i="17"/>
  <c r="Q2" i="17" s="1"/>
  <c r="E9" i="19" l="1"/>
  <c r="E8" i="19"/>
  <c r="E7" i="19"/>
  <c r="E6" i="19"/>
  <c r="E5" i="19"/>
  <c r="S20" i="16"/>
  <c r="O20" i="16"/>
  <c r="K20" i="16"/>
  <c r="K68" i="16" s="1"/>
  <c r="D50" i="16"/>
  <c r="E50" i="16" s="1"/>
  <c r="C17" i="16"/>
  <c r="D37" i="17"/>
  <c r="C37" i="17"/>
  <c r="C7" i="17"/>
  <c r="C4" i="17"/>
  <c r="N50" i="16" l="1"/>
  <c r="P21" i="16"/>
  <c r="R50" i="16"/>
  <c r="T50" i="16" s="1"/>
  <c r="U50" i="16" s="1"/>
  <c r="T21" i="16"/>
  <c r="I24" i="16"/>
  <c r="D38" i="16"/>
  <c r="J50" i="16"/>
  <c r="L21" i="16"/>
  <c r="F50" i="16"/>
  <c r="H50" i="16" s="1"/>
  <c r="I50" i="16" s="1"/>
  <c r="H21" i="16"/>
  <c r="I6" i="17"/>
  <c r="J6" i="17" s="1"/>
  <c r="G6" i="17"/>
  <c r="H6" i="17" s="1"/>
  <c r="C18" i="16"/>
  <c r="M29" i="16" l="1"/>
  <c r="M24" i="16"/>
  <c r="I25" i="16"/>
  <c r="I26" i="16" s="1"/>
  <c r="I27" i="16" s="1"/>
  <c r="I28" i="16" s="1"/>
  <c r="I23" i="16" s="1"/>
  <c r="C6" i="17"/>
  <c r="C11" i="17" s="1"/>
  <c r="M26" i="16" l="1"/>
  <c r="M25" i="16"/>
  <c r="M28" i="16"/>
  <c r="M27" i="16"/>
  <c r="M35" i="16"/>
  <c r="M33" i="16"/>
  <c r="M34" i="16"/>
  <c r="M31" i="16"/>
  <c r="M30" i="16"/>
  <c r="M32" i="16"/>
  <c r="C12" i="17"/>
  <c r="C13" i="17" s="1"/>
  <c r="C14" i="17" s="1"/>
  <c r="C15" i="17" s="1"/>
  <c r="C16" i="17" s="1"/>
  <c r="C21" i="16"/>
  <c r="M23" i="16" l="1"/>
  <c r="C8" i="17"/>
  <c r="S21" i="16" l="1"/>
  <c r="O21" i="16" l="1"/>
  <c r="K21" i="16"/>
  <c r="E12" i="43" s="1"/>
  <c r="A12" i="43" s="1"/>
  <c r="G21" i="16"/>
  <c r="D11" i="17" l="1"/>
  <c r="D12" i="17" l="1"/>
  <c r="D13" i="17"/>
  <c r="C17" i="17" l="1"/>
  <c r="C18" i="17" s="1"/>
  <c r="C19" i="17" s="1"/>
  <c r="D14" i="17"/>
  <c r="D15" i="17" l="1"/>
  <c r="C20" i="17" l="1"/>
  <c r="D16" i="17"/>
  <c r="C21" i="17" l="1"/>
  <c r="C22" i="17" s="1"/>
  <c r="C23" i="17" s="1"/>
  <c r="D17" i="17"/>
  <c r="D18" i="17" l="1"/>
  <c r="D19" i="17" l="1"/>
  <c r="D20" i="17" l="1"/>
  <c r="D21" i="17" l="1"/>
  <c r="D22" i="17" l="1"/>
  <c r="D24" i="17" s="1"/>
  <c r="D26" i="17" l="1"/>
  <c r="C24" i="16" l="1"/>
  <c r="E24" i="16" s="1"/>
  <c r="C25" i="16" l="1"/>
  <c r="D24" i="16"/>
  <c r="E25" i="16" l="1"/>
  <c r="C26" i="16"/>
  <c r="E26" i="16" s="1"/>
  <c r="D25" i="16"/>
  <c r="C27" i="16" l="1"/>
  <c r="D27" i="16" s="1"/>
  <c r="D26" i="16"/>
  <c r="E27" i="16" l="1"/>
  <c r="C28" i="16"/>
  <c r="E28" i="16" s="1"/>
  <c r="C29" i="16" l="1"/>
  <c r="E29" i="16" s="1"/>
  <c r="D28" i="16"/>
  <c r="C30" i="16" l="1"/>
  <c r="E30" i="16" s="1"/>
  <c r="D29" i="16"/>
  <c r="D30" i="16" l="1"/>
  <c r="C31" i="16"/>
  <c r="C32" i="16" s="1"/>
  <c r="C33" i="16" s="1"/>
  <c r="D31" i="16" l="1"/>
  <c r="E31" i="16"/>
  <c r="E33" i="16"/>
  <c r="E32" i="16"/>
  <c r="C34" i="16"/>
  <c r="D32" i="16"/>
  <c r="E34" i="16" l="1"/>
  <c r="C35" i="16"/>
  <c r="D33" i="16"/>
  <c r="E35" i="16" l="1"/>
  <c r="E23" i="16" s="1"/>
  <c r="E39" i="16" s="1"/>
  <c r="C36" i="16"/>
  <c r="E37" i="16"/>
  <c r="D34" i="16"/>
  <c r="T11" i="20" l="1"/>
  <c r="E60" i="16"/>
  <c r="D35" i="16"/>
  <c r="D37" i="16" l="1"/>
  <c r="D39" i="16" s="1"/>
  <c r="D27" i="17"/>
  <c r="D28" i="17" s="1"/>
  <c r="F30" i="17" s="1"/>
  <c r="E4" i="17" l="1"/>
  <c r="K6" i="17" s="1"/>
  <c r="R3" i="17"/>
  <c r="D31" i="17"/>
  <c r="S3" i="17" l="1"/>
  <c r="E38" i="16"/>
  <c r="D30" i="17"/>
  <c r="D32" i="17"/>
  <c r="D33" i="17" s="1"/>
  <c r="L5" i="19" l="1"/>
  <c r="Q11" i="20" s="1"/>
  <c r="Q4" i="20"/>
  <c r="R4" i="20" s="1"/>
  <c r="D34" i="17"/>
  <c r="O4" i="20" s="1"/>
  <c r="Q5" i="20"/>
  <c r="R5" i="20" s="1"/>
  <c r="C33" i="17"/>
  <c r="D38" i="17"/>
  <c r="D39" i="17" s="1"/>
  <c r="F2" i="17" s="1"/>
  <c r="D2" i="17"/>
  <c r="C38" i="17"/>
  <c r="C39" i="17" s="1"/>
  <c r="F1" i="17" s="1"/>
  <c r="D1" i="17"/>
  <c r="C30" i="17"/>
  <c r="D40" i="16" l="1"/>
  <c r="L50" i="16"/>
  <c r="M50" i="16" s="1"/>
  <c r="D41" i="16" l="1"/>
  <c r="D44" i="16" s="1"/>
  <c r="D43" i="16" l="1"/>
  <c r="D45" i="16"/>
  <c r="AJ7" i="20" l="1"/>
  <c r="AK7" i="20" s="1"/>
  <c r="C43" i="16"/>
  <c r="A11" i="20" s="1"/>
  <c r="D46" i="16"/>
  <c r="AJ6" i="20" s="1"/>
  <c r="AK6" i="20" s="1"/>
  <c r="C7" i="16"/>
  <c r="B7" i="16" l="1"/>
  <c r="D47" i="16"/>
  <c r="AH6" i="20" s="1"/>
  <c r="AM6" i="20" s="1"/>
  <c r="P50" i="16" l="1"/>
  <c r="Q50" i="16" s="1"/>
  <c r="K5" i="19" l="1"/>
  <c r="M5" i="19" s="1"/>
  <c r="R11" i="20" s="1"/>
  <c r="E40" i="16"/>
  <c r="E41" i="16" s="1"/>
  <c r="E48" i="16" l="1"/>
  <c r="E53" i="16" s="1"/>
  <c r="E54" i="16" s="1"/>
  <c r="E55" i="16" s="1"/>
  <c r="E56" i="16" s="1"/>
  <c r="E57" i="16" s="1"/>
  <c r="E52" i="16"/>
  <c r="H38" i="16" s="1"/>
  <c r="I7" i="27" s="1"/>
  <c r="E44" i="16"/>
  <c r="E43" i="16" s="1"/>
  <c r="H11" i="20" s="1"/>
  <c r="G60" i="16"/>
  <c r="I60" i="16" s="1"/>
  <c r="K60" i="16" s="1"/>
  <c r="E61" i="16"/>
  <c r="G61" i="16" s="1"/>
  <c r="I61" i="16" s="1"/>
  <c r="K61" i="16" s="1"/>
  <c r="J5" i="19"/>
  <c r="O11" i="20" s="1"/>
  <c r="P11" i="20"/>
  <c r="F7" i="27" s="1"/>
  <c r="K6" i="19" l="1"/>
  <c r="P12" i="20" s="1"/>
  <c r="E13" i="16"/>
  <c r="N5" i="19" s="1"/>
  <c r="S11" i="20" s="1"/>
  <c r="F53" i="16"/>
  <c r="F58" i="16" s="1"/>
  <c r="D5" i="19"/>
  <c r="G5" i="19" s="1"/>
  <c r="L11" i="20" s="1"/>
  <c r="D3" i="22" s="1"/>
  <c r="D8" i="22" s="1"/>
  <c r="W11" i="20"/>
  <c r="E45" i="16"/>
  <c r="AB11" i="20" l="1"/>
  <c r="G7" i="27"/>
  <c r="F10" i="27"/>
  <c r="Q7" i="20"/>
  <c r="R7" i="20" s="1"/>
  <c r="X7" i="20"/>
  <c r="E46" i="16"/>
  <c r="F11" i="20" s="1"/>
  <c r="H5" i="19"/>
  <c r="M11" i="20" s="1"/>
  <c r="Q24" i="16"/>
  <c r="G18" i="16"/>
  <c r="Q25" i="16" l="1"/>
  <c r="Q26" i="16" s="1"/>
  <c r="Q27" i="16" s="1"/>
  <c r="Q28" i="16" s="1"/>
  <c r="F56" i="16"/>
  <c r="G24" i="16"/>
  <c r="C46" i="16"/>
  <c r="E47" i="16"/>
  <c r="C5" i="19"/>
  <c r="I5" i="19" s="1"/>
  <c r="H24" i="16" l="1"/>
  <c r="X6" i="20"/>
  <c r="N11" i="20"/>
  <c r="O6" i="20"/>
  <c r="AC6" i="20" s="1"/>
  <c r="G25" i="16"/>
  <c r="H25" i="16" s="1"/>
  <c r="Q6" i="20"/>
  <c r="R6" i="20" s="1"/>
  <c r="U11" i="20"/>
  <c r="Z11" i="20" l="1"/>
  <c r="E4" i="27"/>
  <c r="V11" i="20"/>
  <c r="G26" i="16"/>
  <c r="G27" i="16" l="1"/>
  <c r="G28" i="16" s="1"/>
  <c r="H26" i="16"/>
  <c r="G23" i="43" s="1"/>
  <c r="H28" i="16" l="1"/>
  <c r="H27" i="16"/>
  <c r="G29" i="16" l="1"/>
  <c r="H29" i="16" s="1"/>
  <c r="G30" i="16" l="1"/>
  <c r="H30" i="16" s="1"/>
  <c r="G31" i="16" l="1"/>
  <c r="G32" i="16" l="1"/>
  <c r="H32" i="16" s="1"/>
  <c r="H31" i="16"/>
  <c r="G33" i="16" l="1"/>
  <c r="H33" i="16" s="1"/>
  <c r="G34" i="16" l="1"/>
  <c r="H34" i="16" s="1"/>
  <c r="G35" i="16" l="1"/>
  <c r="G36" i="16" l="1"/>
  <c r="I37" i="16"/>
  <c r="T12" i="20" s="1"/>
  <c r="H35" i="16"/>
  <c r="H37" i="16" s="1"/>
  <c r="H39" i="16" s="1"/>
  <c r="H40" i="16" l="1"/>
  <c r="L6" i="19"/>
  <c r="Q12" i="20" s="1"/>
  <c r="I10" i="27" l="1"/>
  <c r="M6" i="19"/>
  <c r="R12" i="20" s="1"/>
  <c r="H41" i="16"/>
  <c r="H52" i="16" s="1"/>
  <c r="L38" i="16" s="1"/>
  <c r="K80" i="16" l="1"/>
  <c r="H13" i="16"/>
  <c r="N6" i="19" s="1"/>
  <c r="S12" i="20" s="1"/>
  <c r="I43" i="16"/>
  <c r="H44" i="16"/>
  <c r="J6" i="19"/>
  <c r="O12" i="20" s="1"/>
  <c r="AB12" i="20" l="1"/>
  <c r="G10" i="27"/>
  <c r="H43" i="16"/>
  <c r="C8" i="16" s="1"/>
  <c r="I46" i="16"/>
  <c r="H45" i="16"/>
  <c r="W12" i="20"/>
  <c r="Q29" i="16" l="1"/>
  <c r="G43" i="16"/>
  <c r="A12" i="20" s="1"/>
  <c r="T4" i="25" s="1"/>
  <c r="D6" i="19"/>
  <c r="H6" i="19"/>
  <c r="M12" i="20" s="1"/>
  <c r="H46" i="16"/>
  <c r="G6" i="19" l="1"/>
  <c r="L12" i="20" s="1"/>
  <c r="H12" i="20"/>
  <c r="R4" i="25" s="1"/>
  <c r="Q30" i="16"/>
  <c r="Q31" i="16" s="1"/>
  <c r="Q32" i="16" s="1"/>
  <c r="Q33" i="16" s="1"/>
  <c r="Q34" i="16" s="1"/>
  <c r="Q35" i="16" s="1"/>
  <c r="O17" i="16"/>
  <c r="U24" i="16" s="1"/>
  <c r="M17" i="16"/>
  <c r="C6" i="19"/>
  <c r="F12" i="20" s="1"/>
  <c r="B8" i="16"/>
  <c r="G46" i="16"/>
  <c r="H47" i="16"/>
  <c r="Q23" i="16" l="1"/>
  <c r="B5" i="21" a="1"/>
  <c r="B5" i="21" s="1"/>
  <c r="B6" i="43" a="1"/>
  <c r="B6" i="43" s="1"/>
  <c r="U25" i="16"/>
  <c r="U26" i="16" s="1"/>
  <c r="U27" i="16" s="1"/>
  <c r="U28" i="16" s="1"/>
  <c r="K7" i="19"/>
  <c r="P13" i="20" s="1"/>
  <c r="N12" i="20"/>
  <c r="P4" i="25"/>
  <c r="I6" i="19"/>
  <c r="F11" i="27" l="1"/>
  <c r="V4" i="25"/>
  <c r="U12" i="20"/>
  <c r="Z12" i="20"/>
  <c r="V12" i="20"/>
  <c r="K24" i="16"/>
  <c r="L24" i="16" l="1"/>
  <c r="K25" i="16"/>
  <c r="L25" i="16" s="1"/>
  <c r="E21" i="43" l="1"/>
  <c r="E18" i="43"/>
  <c r="E16" i="43"/>
  <c r="E13" i="43"/>
  <c r="E20" i="43"/>
  <c r="E19" i="43"/>
  <c r="E15" i="43"/>
  <c r="E14" i="43"/>
  <c r="E22" i="43"/>
  <c r="E17" i="43"/>
  <c r="E23" i="43"/>
  <c r="K26" i="16"/>
  <c r="F20" i="43" l="1"/>
  <c r="F19" i="43"/>
  <c r="F15" i="43"/>
  <c r="F14" i="43"/>
  <c r="F22" i="43"/>
  <c r="F17" i="43"/>
  <c r="F23" i="43"/>
  <c r="F16" i="43"/>
  <c r="F21" i="43"/>
  <c r="F18" i="43"/>
  <c r="F13" i="43"/>
  <c r="A13" i="43" s="1"/>
  <c r="L26" i="16"/>
  <c r="K27" i="16"/>
  <c r="D15" i="43" s="1"/>
  <c r="G22" i="43" l="1"/>
  <c r="G17" i="43"/>
  <c r="G21" i="43"/>
  <c r="G16" i="43"/>
  <c r="G14" i="43"/>
  <c r="A14" i="43" s="1"/>
  <c r="G18" i="43"/>
  <c r="G20" i="43"/>
  <c r="G19" i="43"/>
  <c r="G15" i="43"/>
  <c r="K28" i="16"/>
  <c r="D16" i="43" s="1"/>
  <c r="L27" i="16"/>
  <c r="H15" i="43" l="1"/>
  <c r="H16" i="43" s="1"/>
  <c r="H17" i="43" s="1"/>
  <c r="H18" i="43" s="1"/>
  <c r="H19" i="43" s="1"/>
  <c r="L28" i="16"/>
  <c r="K29" i="16"/>
  <c r="D17" i="43" s="1"/>
  <c r="A15" i="43" l="1"/>
  <c r="I23" i="43"/>
  <c r="I16" i="43"/>
  <c r="A16" i="43" s="1"/>
  <c r="I21" i="43"/>
  <c r="I18" i="43"/>
  <c r="I20" i="43"/>
  <c r="I19" i="43"/>
  <c r="I17" i="43"/>
  <c r="I22" i="43"/>
  <c r="H20" i="43"/>
  <c r="K30" i="16"/>
  <c r="D18" i="43" s="1"/>
  <c r="L29" i="16"/>
  <c r="J21" i="43" l="1"/>
  <c r="J18" i="43"/>
  <c r="J20" i="43"/>
  <c r="J19" i="43"/>
  <c r="J22" i="43"/>
  <c r="J17" i="43"/>
  <c r="A17" i="43" s="1"/>
  <c r="J23" i="43"/>
  <c r="H21" i="43"/>
  <c r="L30" i="16"/>
  <c r="K31" i="16"/>
  <c r="D19" i="43" s="1"/>
  <c r="K20" i="43" l="1"/>
  <c r="K19" i="43"/>
  <c r="K22" i="43"/>
  <c r="K23" i="43"/>
  <c r="K21" i="43"/>
  <c r="K18" i="43"/>
  <c r="A18" i="43" s="1"/>
  <c r="H22" i="43"/>
  <c r="L31" i="16"/>
  <c r="K32" i="16"/>
  <c r="D20" i="43" s="1"/>
  <c r="L22" i="43" l="1"/>
  <c r="L23" i="43"/>
  <c r="L21" i="43"/>
  <c r="L20" i="43"/>
  <c r="L19" i="43"/>
  <c r="A19" i="43" s="1"/>
  <c r="H23" i="43"/>
  <c r="L32" i="16"/>
  <c r="K33" i="16"/>
  <c r="D21" i="43" s="1"/>
  <c r="M23" i="43" l="1"/>
  <c r="M21" i="43"/>
  <c r="M20" i="43"/>
  <c r="A20" i="43" s="1"/>
  <c r="M22" i="43"/>
  <c r="K34" i="16"/>
  <c r="D22" i="43" s="1"/>
  <c r="L33" i="16"/>
  <c r="N23" i="43" l="1"/>
  <c r="N21" i="43"/>
  <c r="A21" i="43" s="1"/>
  <c r="N22" i="43"/>
  <c r="L34" i="16"/>
  <c r="K35" i="16"/>
  <c r="D23" i="43" s="1"/>
  <c r="O22" i="43" l="1"/>
  <c r="A22" i="43" s="1"/>
  <c r="O23" i="43"/>
  <c r="L35" i="16"/>
  <c r="K36" i="16"/>
  <c r="M37" i="16"/>
  <c r="T13" i="20" l="1"/>
  <c r="K70" i="16"/>
  <c r="P23" i="43"/>
  <c r="A23" i="43" s="1"/>
  <c r="L39" i="16" l="1"/>
  <c r="L7" i="19" s="1"/>
  <c r="Q13" i="20" s="1"/>
  <c r="K77" i="16"/>
  <c r="AB15" i="25" l="1"/>
  <c r="AB17" i="25" s="1"/>
  <c r="K79" i="16"/>
  <c r="K81" i="16" s="1"/>
  <c r="L40" i="16"/>
  <c r="M7" i="19" s="1"/>
  <c r="R13" i="20" s="1"/>
  <c r="AA18" i="25" s="1"/>
  <c r="I11" i="27"/>
  <c r="E15" i="30" s="1"/>
  <c r="L41" i="16" l="1"/>
  <c r="L52" i="16" s="1"/>
  <c r="J7" i="19" l="1"/>
  <c r="O13" i="20" s="1"/>
  <c r="L44" i="16"/>
  <c r="K78" i="16"/>
  <c r="M43" i="16"/>
  <c r="L13" i="16"/>
  <c r="N7" i="19" s="1"/>
  <c r="S13" i="20" s="1"/>
  <c r="P38" i="16"/>
  <c r="AA16" i="25" s="1"/>
  <c r="AC16" i="25" s="1"/>
  <c r="W13" i="20" l="1"/>
  <c r="K75" i="16"/>
  <c r="E16" i="30"/>
  <c r="C18" i="30" s="1"/>
  <c r="L45" i="16"/>
  <c r="H7" i="19" s="1"/>
  <c r="M13" i="20" s="1"/>
  <c r="L43" i="16"/>
  <c r="P17" i="16" s="1"/>
  <c r="U29" i="16" s="1"/>
  <c r="U30" i="16" s="1"/>
  <c r="U31" i="16" s="1"/>
  <c r="U32" i="16" s="1"/>
  <c r="U33" i="16" s="1"/>
  <c r="U34" i="16" s="1"/>
  <c r="U35" i="16" s="1"/>
  <c r="AB13" i="20"/>
  <c r="G11" i="27"/>
  <c r="S17" i="16" l="1"/>
  <c r="Y24" i="16" s="1"/>
  <c r="Y25" i="16" s="1"/>
  <c r="K74" i="16"/>
  <c r="L46" i="16"/>
  <c r="L47" i="16" s="1"/>
  <c r="K43" i="16"/>
  <c r="A13" i="20" s="1"/>
  <c r="T5" i="25" s="1"/>
  <c r="D7" i="19"/>
  <c r="H13" i="20" s="1"/>
  <c r="R5" i="25" s="1"/>
  <c r="C9" i="16"/>
  <c r="U23" i="16"/>
  <c r="K8" i="19"/>
  <c r="P14" i="20" s="1"/>
  <c r="F12" i="27" s="1"/>
  <c r="J13" i="25" l="1"/>
  <c r="M13" i="25" s="1"/>
  <c r="N13" i="25" s="1"/>
  <c r="Y27" i="16"/>
  <c r="Y28" i="16"/>
  <c r="Y26" i="16"/>
  <c r="O16" i="16"/>
  <c r="K76" i="16"/>
  <c r="B9" i="16"/>
  <c r="C7" i="19"/>
  <c r="F13" i="20" s="1"/>
  <c r="K46" i="16"/>
  <c r="G7" i="19"/>
  <c r="L13" i="20" s="1"/>
  <c r="K82" i="16"/>
  <c r="B6" i="21" a="1"/>
  <c r="B6" i="21" s="1"/>
  <c r="O18" i="16"/>
  <c r="O24" i="16" s="1"/>
  <c r="D12" i="21" s="1"/>
  <c r="B2" i="21"/>
  <c r="I7" i="19" l="1"/>
  <c r="N13" i="20" s="1"/>
  <c r="Z13" i="20" s="1"/>
  <c r="O25" i="16"/>
  <c r="O26" i="16" s="1"/>
  <c r="O27" i="16" s="1"/>
  <c r="P24" i="16"/>
  <c r="U13" i="20"/>
  <c r="P5" i="25"/>
  <c r="AA5" i="25" s="1"/>
  <c r="A25" i="21" l="1"/>
  <c r="A25" i="43"/>
  <c r="V13" i="20"/>
  <c r="M12" i="25"/>
  <c r="N12" i="25" s="1"/>
  <c r="J12" i="25"/>
  <c r="P25" i="16"/>
  <c r="D13" i="21"/>
  <c r="E12" i="21"/>
  <c r="A12" i="21" s="1"/>
  <c r="E16" i="21"/>
  <c r="E14" i="21"/>
  <c r="E13" i="21"/>
  <c r="E15" i="21"/>
  <c r="O28" i="16"/>
  <c r="D16" i="21" s="1"/>
  <c r="D15" i="21"/>
  <c r="V5" i="25"/>
  <c r="B1" i="21" a="1"/>
  <c r="B1" i="21" s="1"/>
  <c r="P26" i="16"/>
  <c r="D14" i="21"/>
  <c r="P27" i="16"/>
  <c r="F13" i="21" l="1"/>
  <c r="A13" i="21" s="1"/>
  <c r="F14" i="21"/>
  <c r="F15" i="21"/>
  <c r="F16" i="21"/>
  <c r="O29" i="16"/>
  <c r="D17" i="21" s="1"/>
  <c r="P28" i="16"/>
  <c r="G16" i="21"/>
  <c r="G15" i="21"/>
  <c r="G14" i="21"/>
  <c r="H16" i="21"/>
  <c r="H15" i="21"/>
  <c r="I16" i="21" l="1"/>
  <c r="A16" i="21" s="1"/>
  <c r="A14" i="21"/>
  <c r="P29" i="16"/>
  <c r="O30" i="16"/>
  <c r="D18" i="21" s="1"/>
  <c r="A15" i="21"/>
  <c r="J17" i="21" l="1"/>
  <c r="A17" i="21" s="1"/>
  <c r="O31" i="16"/>
  <c r="D19" i="21" s="1"/>
  <c r="P30" i="16"/>
  <c r="K18" i="21" s="1"/>
  <c r="A18" i="21" s="1"/>
  <c r="P31" i="16" l="1"/>
  <c r="L19" i="21" s="1"/>
  <c r="A19" i="21" s="1"/>
  <c r="O32" i="16"/>
  <c r="D20" i="21" s="1"/>
  <c r="P32" i="16" l="1"/>
  <c r="M20" i="21" s="1"/>
  <c r="A20" i="21" s="1"/>
  <c r="O33" i="16"/>
  <c r="D21" i="21" s="1"/>
  <c r="O34" i="16" l="1"/>
  <c r="D22" i="21" s="1"/>
  <c r="P33" i="16"/>
  <c r="N21" i="21" s="1"/>
  <c r="A21" i="21" s="1"/>
  <c r="O35" i="16" l="1"/>
  <c r="Q37" i="16" s="1"/>
  <c r="P34" i="16"/>
  <c r="O22" i="21" s="1"/>
  <c r="A22" i="21" s="1"/>
  <c r="T14" i="20" l="1"/>
  <c r="AA6" i="25"/>
  <c r="P35" i="16"/>
  <c r="O36" i="16"/>
  <c r="D23" i="21"/>
  <c r="E13" i="25" l="1"/>
  <c r="L7" i="29"/>
  <c r="P23" i="21"/>
  <c r="P37" i="16"/>
  <c r="A23" i="21"/>
  <c r="P39" i="16" l="1"/>
  <c r="L8" i="19" s="1"/>
  <c r="Q14" i="20" s="1"/>
  <c r="AA13" i="25"/>
  <c r="A26" i="21"/>
  <c r="I12" i="27" l="1"/>
  <c r="E14" i="25"/>
  <c r="AA15" i="25"/>
  <c r="P40" i="16"/>
  <c r="M8" i="19" l="1"/>
  <c r="R14" i="20" s="1"/>
  <c r="P41" i="16"/>
  <c r="AC15" i="25"/>
  <c r="AA17" i="25"/>
  <c r="AC17" i="25" s="1"/>
  <c r="P52" i="16" l="1"/>
  <c r="J8" i="19"/>
  <c r="P44" i="16"/>
  <c r="O14" i="20"/>
  <c r="E15" i="25" s="1"/>
  <c r="Q43" i="16"/>
  <c r="AA14" i="25"/>
  <c r="G17" i="25" l="1"/>
  <c r="G19" i="25"/>
  <c r="G20" i="25"/>
  <c r="W14" i="20"/>
  <c r="F15" i="25"/>
  <c r="H9" i="29" s="1"/>
  <c r="T38" i="16"/>
  <c r="P13" i="16"/>
  <c r="N8" i="19" s="1"/>
  <c r="S14" i="20" s="1"/>
  <c r="P45" i="16"/>
  <c r="AA11" i="25"/>
  <c r="P43" i="16"/>
  <c r="G12" i="27" l="1"/>
  <c r="AB14" i="20"/>
  <c r="P46" i="16"/>
  <c r="H8" i="19"/>
  <c r="M14" i="20" s="1"/>
  <c r="C10" i="16"/>
  <c r="D8" i="19"/>
  <c r="T17" i="16"/>
  <c r="O43" i="16"/>
  <c r="A14" i="20" s="1"/>
  <c r="T6" i="25" s="1"/>
  <c r="K9" i="19"/>
  <c r="P15" i="20" s="1"/>
  <c r="F13" i="27" s="1"/>
  <c r="C8" i="19" l="1"/>
  <c r="S16" i="16"/>
  <c r="B10" i="16"/>
  <c r="O46" i="16"/>
  <c r="P47" i="16"/>
  <c r="S18" i="16" s="1"/>
  <c r="H14" i="20"/>
  <c r="R6" i="25" s="1"/>
  <c r="G8" i="19"/>
  <c r="L14" i="20" s="1"/>
  <c r="Y29" i="16"/>
  <c r="W17" i="16"/>
  <c r="AC24" i="16" s="1"/>
  <c r="J18" i="25" l="1"/>
  <c r="M18" i="25" s="1"/>
  <c r="N18" i="25" s="1"/>
  <c r="L9" i="29"/>
  <c r="I8" i="19"/>
  <c r="N14" i="20" s="1"/>
  <c r="F14" i="20"/>
  <c r="AA10" i="25"/>
  <c r="AA19" i="25"/>
  <c r="E16" i="25" s="1"/>
  <c r="Y33" i="16"/>
  <c r="Y30" i="16"/>
  <c r="Y34" i="16"/>
  <c r="Y31" i="16"/>
  <c r="Y35" i="16"/>
  <c r="Y32" i="16"/>
  <c r="AC25" i="16"/>
  <c r="AC26" i="16"/>
  <c r="AC28" i="16"/>
  <c r="AC27" i="16"/>
  <c r="S24" i="16"/>
  <c r="S25" i="16" s="1"/>
  <c r="T25" i="16" s="1"/>
  <c r="T24" i="16"/>
  <c r="S26" i="16"/>
  <c r="S27" i="16" s="1"/>
  <c r="Y23" i="16" l="1"/>
  <c r="V14" i="20"/>
  <c r="Z14" i="20"/>
  <c r="P6" i="25"/>
  <c r="U14" i="20"/>
  <c r="T27" i="16"/>
  <c r="S28" i="16"/>
  <c r="T26" i="16"/>
  <c r="M17" i="25" l="1"/>
  <c r="N17" i="25" s="1"/>
  <c r="J17" i="25"/>
  <c r="AA12" i="25"/>
  <c r="V6" i="25"/>
  <c r="T28" i="16"/>
  <c r="S29" i="16"/>
  <c r="T29" i="16" l="1"/>
  <c r="S30" i="16"/>
  <c r="T30" i="16" l="1"/>
  <c r="S31" i="16"/>
  <c r="T31" i="16" l="1"/>
  <c r="S32" i="16"/>
  <c r="T32" i="16" l="1"/>
  <c r="S33" i="16"/>
  <c r="T33" i="16" l="1"/>
  <c r="S34" i="16"/>
  <c r="T34" i="16" l="1"/>
  <c r="S35" i="16"/>
  <c r="T35" i="16" s="1"/>
  <c r="T37" i="16" l="1"/>
  <c r="T39" i="16" s="1"/>
  <c r="S36" i="16"/>
  <c r="U37" i="16"/>
  <c r="T15" i="20" s="1"/>
  <c r="L9" i="19" l="1"/>
  <c r="Q15" i="20" s="1"/>
  <c r="I13" i="27" s="1"/>
  <c r="T40" i="16"/>
  <c r="M9" i="19" l="1"/>
  <c r="R15" i="20" s="1"/>
  <c r="T41" i="16"/>
  <c r="T52" i="16" s="1"/>
  <c r="T13" i="16" l="1"/>
  <c r="N9" i="19" s="1"/>
  <c r="S15" i="20" s="1"/>
  <c r="X38" i="16"/>
  <c r="U43" i="16"/>
  <c r="J9" i="19"/>
  <c r="O15" i="20" s="1"/>
  <c r="T44" i="16"/>
  <c r="T43" i="16" s="1"/>
  <c r="X17" i="16" s="1"/>
  <c r="AB15" i="20" l="1"/>
  <c r="G13" i="27"/>
  <c r="K10" i="19"/>
  <c r="P16" i="20" s="1"/>
  <c r="F14" i="27" s="1"/>
  <c r="AC29" i="16"/>
  <c r="T45" i="16"/>
  <c r="T46" i="16" s="1"/>
  <c r="W15" i="20"/>
  <c r="C11" i="16"/>
  <c r="S43" i="16"/>
  <c r="A15" i="20" s="1"/>
  <c r="T7" i="25" s="1"/>
  <c r="D9" i="19"/>
  <c r="AC35" i="16" l="1"/>
  <c r="AC31" i="16"/>
  <c r="AC32" i="16"/>
  <c r="AC30" i="16"/>
  <c r="AC34" i="16"/>
  <c r="AC33" i="16"/>
  <c r="H9" i="19"/>
  <c r="M15" i="20" s="1"/>
  <c r="H15" i="20"/>
  <c r="R7" i="25" s="1"/>
  <c r="G9" i="19"/>
  <c r="L15" i="20" s="1"/>
  <c r="T47" i="16"/>
  <c r="W18" i="16" s="1"/>
  <c r="W24" i="16" s="1"/>
  <c r="C9" i="19"/>
  <c r="S46" i="16"/>
  <c r="B11" i="16"/>
  <c r="AC23" i="16" l="1"/>
  <c r="X24" i="16"/>
  <c r="W25" i="16"/>
  <c r="I9" i="19"/>
  <c r="N15" i="20" s="1"/>
  <c r="F15" i="20"/>
  <c r="U15" i="20" l="1"/>
  <c r="P7" i="25"/>
  <c r="V7" i="25" s="1"/>
  <c r="X25" i="16"/>
  <c r="W26" i="16"/>
  <c r="Z15" i="20"/>
  <c r="V15" i="20"/>
  <c r="X26" i="16" l="1"/>
  <c r="W27" i="16"/>
  <c r="W28" i="16" s="1"/>
  <c r="X27" i="16" l="1"/>
  <c r="X28" i="16" l="1"/>
  <c r="W29" i="16"/>
  <c r="W30" i="16" l="1"/>
  <c r="X30" i="16" s="1"/>
  <c r="X29" i="16"/>
  <c r="W31" i="16" l="1"/>
  <c r="X31" i="16" s="1"/>
  <c r="W32" i="16" l="1"/>
  <c r="X32" i="16" s="1"/>
  <c r="W33" i="16" l="1"/>
  <c r="X33" i="16" s="1"/>
  <c r="W34" i="16" l="1"/>
  <c r="X34" i="16" s="1"/>
  <c r="W35" i="16" l="1"/>
  <c r="X35" i="16" l="1"/>
  <c r="X37" i="16" s="1"/>
  <c r="X39" i="16" s="1"/>
  <c r="X40" i="16" s="1"/>
  <c r="W36" i="16"/>
  <c r="Y37" i="16"/>
  <c r="T16" i="20" s="1"/>
  <c r="L10" i="19" l="1"/>
  <c r="Q16" i="20" s="1"/>
  <c r="I14" i="27" s="1"/>
  <c r="X41" i="16"/>
  <c r="X52" i="16" s="1"/>
  <c r="X13" i="16" s="1"/>
  <c r="M10" i="19"/>
  <c r="R16" i="20" s="1"/>
  <c r="J10" i="19" l="1"/>
  <c r="O16" i="20" s="1"/>
  <c r="N10" i="19"/>
  <c r="S16" i="20" s="1"/>
  <c r="G14" i="27" s="1"/>
  <c r="X44" i="16"/>
  <c r="X43" i="16" l="1"/>
  <c r="X45" i="16"/>
  <c r="AB16" i="20"/>
  <c r="W16" i="20"/>
  <c r="X46" i="16" l="1"/>
  <c r="H10" i="19"/>
  <c r="M16" i="20" s="1"/>
  <c r="W43" i="16"/>
  <c r="A16" i="20" s="1"/>
  <c r="T8" i="25" s="1"/>
  <c r="D10" i="19"/>
  <c r="G10" i="19" l="1"/>
  <c r="L16" i="20" s="1"/>
  <c r="H16" i="20"/>
  <c r="R8" i="25" s="1"/>
  <c r="C10" i="19"/>
  <c r="X47" i="16"/>
  <c r="W46" i="16"/>
  <c r="I10" i="19" l="1"/>
  <c r="N16" i="20" s="1"/>
  <c r="F16" i="20"/>
  <c r="U16" i="20" l="1"/>
  <c r="P8" i="25"/>
  <c r="V8" i="25" s="1"/>
  <c r="Z16" i="20"/>
  <c r="V16" i="20"/>
  <c r="G9" i="29" l="1"/>
  <c r="O4" i="36"/>
  <c r="P4" i="36" l="1"/>
  <c r="N9" i="36"/>
  <c r="N10" i="36" s="1"/>
  <c r="P4" i="38"/>
  <c r="E17" i="38" l="1"/>
  <c r="D18" i="38" l="1"/>
  <c r="D17" i="38"/>
  <c r="B18" i="38"/>
  <c r="B17" i="38"/>
  <c r="K36" i="38" l="1"/>
  <c r="M31" i="38"/>
  <c r="O31" i="38" s="1"/>
  <c r="P31" i="38" s="1"/>
  <c r="Q31" i="38" s="1"/>
  <c r="M16" i="38"/>
  <c r="O16" i="38" s="1"/>
  <c r="K16" i="38"/>
  <c r="M26" i="38"/>
  <c r="O26" i="38" s="1"/>
  <c r="K21" i="38"/>
  <c r="K26" i="38"/>
  <c r="K31" i="38"/>
  <c r="M21" i="38"/>
  <c r="O21" i="38" s="1"/>
  <c r="D21" i="38"/>
  <c r="D22" i="38"/>
  <c r="K37" i="38"/>
  <c r="K17" i="38"/>
  <c r="K32" i="38"/>
  <c r="M32" i="38"/>
  <c r="O32" i="38" s="1"/>
  <c r="M27" i="38"/>
  <c r="O27" i="38" s="1"/>
  <c r="M17" i="38"/>
  <c r="O17" i="38" s="1"/>
  <c r="K22" i="38"/>
  <c r="K27" i="38"/>
  <c r="M22" i="38"/>
  <c r="O22" i="38" s="1"/>
  <c r="P26" i="38" l="1"/>
  <c r="Q26" i="38" s="1"/>
  <c r="H21" i="38"/>
  <c r="B21" i="38"/>
  <c r="P21" i="38"/>
  <c r="Q21" i="38" s="1"/>
  <c r="H22" i="38"/>
  <c r="B22" i="38"/>
  <c r="P16" i="38"/>
  <c r="Q16" i="38" s="1"/>
  <c r="N13" i="38" l="1"/>
  <c r="N38" i="38" s="1"/>
  <c r="M36" i="38" s="1"/>
  <c r="O36" i="38" s="1"/>
  <c r="E33" i="38"/>
  <c r="E35" i="38"/>
  <c r="Q13" i="38"/>
  <c r="Q38" i="38" s="1"/>
  <c r="M37" i="38" s="1"/>
  <c r="O37" i="38" s="1"/>
  <c r="P36" i="38" l="1"/>
  <c r="Q36" i="38" s="1"/>
  <c r="F8" i="17"/>
  <c r="I6" i="18"/>
  <c r="E10" i="30"/>
  <c r="D10" i="30"/>
  <c r="E6" i="30"/>
  <c r="D6" i="30"/>
  <c r="C6" i="43"/>
  <c r="C6" i="21"/>
  <c r="C5" i="21"/>
  <c r="C1" i="2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<sst xmlns="http://schemas.openxmlformats.org/spreadsheetml/2006/main" count="1274" uniqueCount="565">
  <si>
    <t>REZERV</t>
  </si>
  <si>
    <t>AYLIK NEMA GETİRİSİ</t>
  </si>
  <si>
    <t>AYLIK GETİRİ</t>
  </si>
  <si>
    <t>TOPLAM NEMA GETİRİ</t>
  </si>
  <si>
    <t>MASRAF KESİNTİ %2,6167</t>
  </si>
  <si>
    <t>NET NEMA GETİRİ</t>
  </si>
  <si>
    <t>TOPLAM KESİNTİ</t>
  </si>
  <si>
    <t>PAY ORANI</t>
  </si>
  <si>
    <t>REZERVE EKLENEN NEMA</t>
  </si>
  <si>
    <t>RİZİKO KESİNTİ %2 ÖLÜM YRD</t>
  </si>
  <si>
    <t>NOT 1</t>
  </si>
  <si>
    <t>NOT 2</t>
  </si>
  <si>
    <t>NOT 3</t>
  </si>
  <si>
    <t>2023 YILINDA ÖLÜM YARDIMI</t>
  </si>
  <si>
    <t>2024 YILINDA ÖLÜM YARDIMI</t>
  </si>
  <si>
    <t>2025 YILINDA ÖLÜM YARDIMI</t>
  </si>
  <si>
    <t>2026 YILINDA ÖLÜM YARDIMI</t>
  </si>
  <si>
    <t>2023'DE                    ALINACAK MAAŞ HESABI</t>
  </si>
  <si>
    <t>2024'DE                    ALINACAK MAAŞ HESABI</t>
  </si>
  <si>
    <t>2025'DE                    ALINACAK MAAŞ HESABI</t>
  </si>
  <si>
    <t>YENİ 2021 AYLIK                         MAAŞ ve ARTIŞ ORANI</t>
  </si>
  <si>
    <t xml:space="preserve">YIL İÇİNDE NEMADAN ÖDENECEK TOPLAM MAAŞ </t>
  </si>
  <si>
    <t>YIL İÇİ ALINAN MAAŞ</t>
  </si>
  <si>
    <t>MAAŞLAR DAHİL REZERV</t>
  </si>
  <si>
    <t>MAAŞLAR DAHİL REZERV                                   (NEMAYA ESAS REZERV)</t>
  </si>
  <si>
    <t>MAAŞLAR DAHİL REZERV                              (NEMAYA ESAS REZERV)</t>
  </si>
  <si>
    <t>2023 MAAŞLAR HARİÇ REZERV</t>
  </si>
  <si>
    <t>2024 MAAŞLAR HARİÇ REZERV</t>
  </si>
  <si>
    <t>2025 MAAŞLAR HARİÇ REZERV</t>
  </si>
  <si>
    <t>NEMADAN MAAŞA AYRILAN MİKTAR</t>
  </si>
  <si>
    <r>
      <t>NEMAYA ESAS                         "</t>
    </r>
    <r>
      <rPr>
        <b/>
        <sz val="14"/>
        <color rgb="FFFF0000"/>
        <rFont val="Calibri"/>
        <family val="2"/>
        <charset val="162"/>
        <scheme val="minor"/>
      </rPr>
      <t>MAAŞ DAHİL REZERV</t>
    </r>
    <r>
      <rPr>
        <b/>
        <sz val="11"/>
        <color theme="1"/>
        <rFont val="Calibri"/>
        <family val="2"/>
        <charset val="162"/>
        <scheme val="minor"/>
      </rPr>
      <t>"</t>
    </r>
  </si>
  <si>
    <r>
      <t xml:space="preserve">NEMA ORANI </t>
    </r>
    <r>
      <rPr>
        <b/>
        <sz val="11"/>
        <color rgb="FFFF0000"/>
        <rFont val="Calibri"/>
        <family val="2"/>
        <charset val="162"/>
        <scheme val="minor"/>
      </rPr>
      <t>(NOT 3)</t>
    </r>
  </si>
  <si>
    <t>MAAŞ</t>
  </si>
  <si>
    <t>HESAPLAMA HATASI</t>
  </si>
  <si>
    <t>OYAK  HESABI</t>
  </si>
  <si>
    <t>PROGRAM HESABI</t>
  </si>
  <si>
    <t>2021 MAAŞLAR HARİÇ KESİN REZERV ve ARTIŞ ORANI</t>
  </si>
  <si>
    <t>AYLIK MAAŞ</t>
  </si>
  <si>
    <t>14 OCAK TARİHLİ KESİN REZERV</t>
  </si>
  <si>
    <r>
      <t xml:space="preserve">HAZİRAN </t>
    </r>
    <r>
      <rPr>
        <b/>
        <sz val="16"/>
        <color theme="1"/>
        <rFont val="Calibri"/>
        <family val="2"/>
        <charset val="162"/>
        <scheme val="minor"/>
      </rPr>
      <t>2021</t>
    </r>
    <r>
      <rPr>
        <b/>
        <sz val="11"/>
        <color theme="1"/>
        <rFont val="Calibri"/>
        <family val="2"/>
        <charset val="162"/>
        <scheme val="minor"/>
      </rPr>
      <t xml:space="preserve"> TARİHLİ OYAK EMS DEVİR MEKTUBU</t>
    </r>
  </si>
  <si>
    <t>GERÇEKLEŞEN NEMA ORANI</t>
  </si>
  <si>
    <t>YENİ MAAŞ-REZERV DOĞRULAMA</t>
  </si>
  <si>
    <t>NEMA ORANI (SİZİN TAHMİNİZ)</t>
  </si>
  <si>
    <t>İŞTE 5 YILLIK GELECEĞİNİZ</t>
  </si>
  <si>
    <t>Emekli Deniz Subayı Zafer ÇALIŞKAN tarafından dizayn edilmiştir.</t>
  </si>
  <si>
    <t>DEĞERLER "GİRDİ" SEKMESİNDEN OTOMATİK GELMEKTEDİR.</t>
  </si>
  <si>
    <t>DEĞER "GİRDİ" SEKMESİNDEN OTOMATİK GELMEKTEDİR.</t>
  </si>
  <si>
    <t>YENİ MAAŞ</t>
  </si>
  <si>
    <t>YENİ REZERV</t>
  </si>
  <si>
    <t>DEĞER "GİRDİ" SEKMESİNDEN OTOMATİK GELEN BİLGİLER İLE OTOMATİK OLARAK HESAPLANMAKTADIR.</t>
  </si>
  <si>
    <t>ORAN</t>
  </si>
  <si>
    <t>TERCİH ORANI</t>
  </si>
  <si>
    <t>%5 GARANTİ YANSIMA</t>
  </si>
  <si>
    <t>2025 YILI</t>
  </si>
  <si>
    <t>2026 YILI</t>
  </si>
  <si>
    <t xml:space="preserve">2022 NEMA ORANI </t>
  </si>
  <si>
    <t xml:space="preserve">2023 NEMA ORANI </t>
  </si>
  <si>
    <t xml:space="preserve">2024 NEMA ORANI </t>
  </si>
  <si>
    <t xml:space="preserve">2025 NEMA ORANI </t>
  </si>
  <si>
    <t xml:space="preserve">MAAŞ TERCİH %5 YANSIMA ORANI </t>
  </si>
  <si>
    <r>
      <t>2026 YILI YENİ REZERV</t>
    </r>
    <r>
      <rPr>
        <b/>
        <sz val="12"/>
        <color rgb="FFFF0000"/>
        <rFont val="Calibri"/>
        <family val="2"/>
        <charset val="162"/>
        <scheme val="minor"/>
      </rPr>
      <t xml:space="preserve"> </t>
    </r>
    <r>
      <rPr>
        <b/>
        <sz val="12"/>
        <color rgb="FFFFFF00"/>
        <rFont val="Calibri"/>
        <family val="2"/>
        <charset val="162"/>
        <scheme val="minor"/>
      </rPr>
      <t>ve ARTIŞ ORANI</t>
    </r>
    <r>
      <rPr>
        <b/>
        <sz val="12"/>
        <color rgb="FFFF0000"/>
        <rFont val="Calibri"/>
        <family val="2"/>
        <charset val="162"/>
        <scheme val="minor"/>
      </rPr>
      <t xml:space="preserve"> </t>
    </r>
  </si>
  <si>
    <r>
      <rPr>
        <b/>
        <sz val="12"/>
        <color rgb="FFFFFF00"/>
        <rFont val="Calibri"/>
        <family val="2"/>
        <charset val="162"/>
        <scheme val="minor"/>
      </rPr>
      <t>2026 YILI YENİ MAAŞ ve ARTIŞ ORANI</t>
    </r>
    <r>
      <rPr>
        <b/>
        <sz val="12"/>
        <color rgb="FFFF0000"/>
        <rFont val="Calibri"/>
        <family val="2"/>
        <charset val="162"/>
        <scheme val="minor"/>
      </rPr>
      <t xml:space="preserve"> </t>
    </r>
  </si>
  <si>
    <r>
      <t>2025 YILI YENİ REZERV</t>
    </r>
    <r>
      <rPr>
        <b/>
        <sz val="12"/>
        <color rgb="FFFF0000"/>
        <rFont val="Calibri"/>
        <family val="2"/>
        <charset val="162"/>
        <scheme val="minor"/>
      </rPr>
      <t xml:space="preserve"> </t>
    </r>
    <r>
      <rPr>
        <b/>
        <sz val="12"/>
        <color rgb="FFFFFF00"/>
        <rFont val="Calibri"/>
        <family val="2"/>
        <charset val="162"/>
        <scheme val="minor"/>
      </rPr>
      <t>ve ARTIŞ ORANI</t>
    </r>
    <r>
      <rPr>
        <b/>
        <sz val="12"/>
        <color rgb="FFFF0000"/>
        <rFont val="Calibri"/>
        <family val="2"/>
        <charset val="162"/>
        <scheme val="minor"/>
      </rPr>
      <t xml:space="preserve"> </t>
    </r>
  </si>
  <si>
    <r>
      <rPr>
        <b/>
        <sz val="12"/>
        <color rgb="FFFFFF00"/>
        <rFont val="Calibri"/>
        <family val="2"/>
        <charset val="162"/>
        <scheme val="minor"/>
      </rPr>
      <t>2025 YILI YENİ MAAŞ ve ARTIŞ ORANI</t>
    </r>
    <r>
      <rPr>
        <b/>
        <sz val="12"/>
        <color rgb="FFFF0000"/>
        <rFont val="Calibri"/>
        <family val="2"/>
        <charset val="162"/>
        <scheme val="minor"/>
      </rPr>
      <t xml:space="preserve"> </t>
    </r>
  </si>
  <si>
    <r>
      <rPr>
        <b/>
        <sz val="12"/>
        <color rgb="FFFFFF00"/>
        <rFont val="Calibri"/>
        <family val="2"/>
        <charset val="162"/>
        <scheme val="minor"/>
      </rPr>
      <t>2024 YILI YENİ MAAŞ ve ARTIŞ ORANI</t>
    </r>
    <r>
      <rPr>
        <b/>
        <sz val="12"/>
        <color rgb="FFFF0000"/>
        <rFont val="Calibri"/>
        <family val="2"/>
        <charset val="162"/>
        <scheme val="minor"/>
      </rPr>
      <t xml:space="preserve"> </t>
    </r>
  </si>
  <si>
    <r>
      <rPr>
        <b/>
        <sz val="12"/>
        <color rgb="FFFFFF00"/>
        <rFont val="Calibri"/>
        <family val="2"/>
        <charset val="162"/>
        <scheme val="minor"/>
      </rPr>
      <t>2023 YILI YENİ MAAŞ ve ARTIŞ ORANI</t>
    </r>
    <r>
      <rPr>
        <b/>
        <sz val="12"/>
        <color rgb="FFFF0000"/>
        <rFont val="Calibri"/>
        <family val="2"/>
        <charset val="162"/>
        <scheme val="minor"/>
      </rPr>
      <t xml:space="preserve"> </t>
    </r>
  </si>
  <si>
    <t>TL</t>
  </si>
  <si>
    <t xml:space="preserve">2 maaş farkı EKSİK ÖDEME Mayıs-Haziran 2021  </t>
  </si>
  <si>
    <r>
      <t>ÖNÜMÜZDEKİ 5 YILLIK REZERV VE MAAŞ DURUMU, BİR SONRAKİ "</t>
    </r>
    <r>
      <rPr>
        <b/>
        <sz val="16"/>
        <color rgb="FFFF0000"/>
        <rFont val="Calibri"/>
        <family val="2"/>
        <charset val="162"/>
        <scheme val="minor"/>
      </rPr>
      <t>5 YILLIK GELECEĞİ PLANLAMA</t>
    </r>
    <r>
      <rPr>
        <b/>
        <sz val="16"/>
        <color theme="1"/>
        <rFont val="Calibri"/>
        <family val="2"/>
        <charset val="162"/>
        <scheme val="minor"/>
      </rPr>
      <t xml:space="preserve">" İSİMLİ SEKMEDE, HER YIL İÇİN AYRI AYRI YİNE SİZİN GİRECEĞİNİZ VE SİZİN TAHMİNİNİZ OLAN NEMA ORANI VE SEÇECEĞİNİZ MAAŞ TERCİH ORANI İLE HESAPLANACAKTIR.                                                                                             </t>
    </r>
    <r>
      <rPr>
        <b/>
        <sz val="16"/>
        <color rgb="FFC00000"/>
        <rFont val="Calibri"/>
        <family val="2"/>
        <charset val="162"/>
        <scheme val="minor"/>
      </rPr>
      <t xml:space="preserve">İLGİLİ SEKMEYE SOL ALT KÖŞEDEN TIKLAYINIZ. </t>
    </r>
  </si>
  <si>
    <t>OYAK DEĞERİNE GÖRE HESAPLAMA HATASI</t>
  </si>
  <si>
    <t>HER YILIN MAYIS  AYI NEMA ORANINI BEKLENTİNİZ İLE GİRİNİZ</t>
  </si>
  <si>
    <t>MAAŞ ALACAKSANIZ BU SATIRDAKİ DEĞERLER 1 OLARAK KALSIN.                          MAAŞ ALMAYACAKSANIZ SIFIR GİRİNİZ</t>
  </si>
  <si>
    <t>MAAŞ ALMA TERCİH ORANINIZI GİRİNİZ . MAAŞ ALMAYACAKSANIZ DAHİ YİNE DE BİR ORAN GİRİNİZ,  BU MAAŞI ALMAK İSTEMİYORSANIZ  AŞAĞI KUTUYA 0 GİRİNİZ, O ZAMAN MAAŞ REZERVE EKLENİR.</t>
  </si>
  <si>
    <t>NEMAYA ESAS REZERV</t>
  </si>
  <si>
    <t>ÖLÜM YARDIMI HESABI İÇİN KULLANILIYOR</t>
  </si>
  <si>
    <t xml:space="preserve">"Nemaya esas MAAŞLAR DAHİL REZERVİN" içinde;                                                                             (a) 14 OCAK 2020 tarihli kesin rezerv (Kesin rezervin içinde de 4 Mayıs 2019 tarihli mektupta yazılı olan maaşın 4 katı dahil, yani OCAK-ŞUBAT-MART-NİSAN 2020 maaşları),                                    (b) 27 Haziran 2020 tarihli mektupta yazılı maaşınızın 12 katı eklenmiş. </t>
  </si>
  <si>
    <t>Mayıs Haziran 2021</t>
  </si>
  <si>
    <t>"5 YILLIK GELECEĞİ PLANLAMA" İSİMLİ SEKMEYE,  BİZİM PROGRAMIN HESAP HATASI İLE BİRAZ FARKLI HESAPLADIĞI YENİ MAAŞI VE REZERVİ DEĞİL, OYAK'IN GERÇEK MAAŞ VE REZERV DEĞERİNİ GİRDİM Kİ SONRAKİ YILLAR DOĞRU ÇIKSIN. NEMAYA ESAS REZERVİ DE ONA GÖRE DÜZELTTİM.</t>
  </si>
  <si>
    <r>
      <t>AYLIK MAAŞ 2021'de alınan</t>
    </r>
    <r>
      <rPr>
        <b/>
        <sz val="10"/>
        <color rgb="FFFF0000"/>
        <rFont val="Calibri"/>
        <family val="2"/>
        <charset val="162"/>
        <scheme val="minor"/>
      </rPr>
      <t xml:space="preserve"> ilk 6 ay ve sonrasındaki 6 ay </t>
    </r>
    <r>
      <rPr>
        <b/>
        <sz val="10"/>
        <rFont val="Calibri"/>
        <family val="2"/>
        <charset val="162"/>
        <scheme val="minor"/>
      </rPr>
      <t>MAAŞ</t>
    </r>
    <r>
      <rPr>
        <b/>
        <sz val="10"/>
        <color rgb="FFFF0000"/>
        <rFont val="Calibri"/>
        <family val="2"/>
        <charset val="162"/>
        <scheme val="minor"/>
      </rPr>
      <t xml:space="preserve"> )</t>
    </r>
  </si>
  <si>
    <t>MAAŞ ALMA ORANI</t>
  </si>
  <si>
    <t>RİZİKO</t>
  </si>
  <si>
    <t>EN YÜKSEK MAAŞ</t>
  </si>
  <si>
    <t>ÖLÜM YARDIMI</t>
  </si>
  <si>
    <t>RİZİKO PRİMİ</t>
  </si>
  <si>
    <r>
      <rPr>
        <b/>
        <sz val="11"/>
        <color theme="1"/>
        <rFont val="Calibri"/>
        <family val="2"/>
        <charset val="162"/>
        <scheme val="minor"/>
      </rPr>
      <t xml:space="preserve">NET NEMA </t>
    </r>
    <r>
      <rPr>
        <b/>
        <sz val="9"/>
        <color theme="1"/>
        <rFont val="Calibri"/>
        <family val="2"/>
        <charset val="162"/>
        <scheme val="minor"/>
      </rPr>
      <t xml:space="preserve">(HAZİRAN 2020 de açıklanan nema oranına denk gelen) </t>
    </r>
  </si>
  <si>
    <t>MAAŞ ALMA                            ORAN TERCİHİ</t>
  </si>
  <si>
    <t>%5 LİK GARANTİ YANSIMA</t>
  </si>
  <si>
    <t>RİZİKO %35-65</t>
  </si>
  <si>
    <t xml:space="preserve">RİZİKO %40-60 </t>
  </si>
  <si>
    <t>RİZİKO                     %50-50</t>
  </si>
  <si>
    <t>RİZİKO %30-70</t>
  </si>
  <si>
    <t>RİZİKO %25-75</t>
  </si>
  <si>
    <t>RİZİKO %20-80</t>
  </si>
  <si>
    <t>RİZİKO %15-85</t>
  </si>
  <si>
    <t>RİZİKO %10-90</t>
  </si>
  <si>
    <t>RİZİKO %5-95</t>
  </si>
  <si>
    <t>RİZİKO %1-99</t>
  </si>
  <si>
    <t>YIL</t>
  </si>
  <si>
    <t>RİZİKO KESİNTİ %2 (NOT 4)</t>
  </si>
  <si>
    <r>
      <rPr>
        <b/>
        <sz val="16"/>
        <color theme="1"/>
        <rFont val="Calibri"/>
        <family val="2"/>
        <charset val="162"/>
        <scheme val="minor"/>
      </rPr>
      <t xml:space="preserve">NOT 4                                MAAŞ ALMA TERCİH ORANINA GÖRE RİZİKO KESİNTİSİ HESAPLAMASI   </t>
    </r>
    <r>
      <rPr>
        <b/>
        <sz val="11"/>
        <color theme="1"/>
        <rFont val="Calibri"/>
        <family val="2"/>
        <charset val="162"/>
        <scheme val="minor"/>
      </rPr>
      <t xml:space="preserve">                                                                                                                                                                                                                   (HİÇ DOKUNMAYINIZ. UNUTMAYINIZ Kİ BU YILIN RİZİKO KESİNTİSİ GEÇEN YILIN ÖLÜM YARDIMI ÜZERİNDEN HESAPLANMAKTADIR. GEÇEN YILIN % 20,5 NEMA ORANINA KARŞILIK GELEN EN YÜKSEK MAAŞ İLE HESAPLANAN ÖLÜM YARDIMINDAN YAPILAN RİZİKO KESİNTİSİ "GİRDİ "SEKMESİNDE  OTOMATİK BULUNUR VE BU TABLOYA OTOMATİK AKTARILIR. BU LİSTEDEKİ RİZİKO KESİNTİLERİ BİR ÖNCEKİ YILIN MAAŞ ALMA TERCİH ORANINA GÖRE AŞAĞIDAKİ LİSTEDEN MANTIKSAL FORMÜL İLE EŞLEŞEREK OTOMATİK OLARAK SEÇİLİR VE D25 HÜCRESİNE OTOMATİK OLARAK AKTARILIR.)</t>
    </r>
  </si>
  <si>
    <t>MAAŞ TERCİH %5 LİK GARANTİ YANSIMA ORANI (NOT 5)</t>
  </si>
  <si>
    <t>NOT 5</t>
  </si>
  <si>
    <t>MAAŞ ALMA TERCİH ORANI</t>
  </si>
  <si>
    <t>MAAŞ ALMA TERCİH ORANI (EN YÜKSEK MAAŞI BULMAK İÇİN 50 SEÇİLMİŞTİR. )</t>
  </si>
  <si>
    <t>SAĞDAKİ HÜCRELERE HİÇ DOKUNMAYINIZ .                                                NEMA ORANINA GÖRE O YILA AİT EN YÜKSEK MAAŞI BULMAK İÇİN 50-50 MAAŞ ALMA ORANINA DENK GELEN %5 GARANTİ YANSIMA ORANINI BULMAK İÇİN KULLANILMAKTADIR.</t>
  </si>
  <si>
    <r>
      <rPr>
        <b/>
        <sz val="14"/>
        <rFont val="Calibri"/>
        <family val="2"/>
        <charset val="162"/>
        <scheme val="minor"/>
      </rPr>
      <t xml:space="preserve">HİÇ DOKUNMAYINIZ!  </t>
    </r>
    <r>
      <rPr>
        <b/>
        <sz val="8"/>
        <rFont val="Calibri"/>
        <family val="2"/>
        <charset val="162"/>
        <scheme val="minor"/>
      </rPr>
      <t xml:space="preserve">                                                                           BİR ÖNCEKİ YILIN NEMA ORANINA GÖRE EN YÜKSEK MAAŞI BULMAK İÇİN 50-50 MAAŞ ALMA ORANINA DENK GELEN %5 GARANTİ YANSIMA ORANINI BULMAK İÇİN KULLANILMAKTADIR.</t>
    </r>
  </si>
  <si>
    <r>
      <rPr>
        <b/>
        <sz val="12"/>
        <color theme="1"/>
        <rFont val="Calibri"/>
        <family val="2"/>
        <charset val="162"/>
        <scheme val="minor"/>
      </rPr>
      <t xml:space="preserve">HİÇ DOKUNMAYINIZ!                                                                                                                                                                                          </t>
    </r>
    <r>
      <rPr>
        <b/>
        <sz val="8"/>
        <color theme="1"/>
        <rFont val="Calibri"/>
        <family val="2"/>
        <charset val="162"/>
        <scheme val="minor"/>
      </rPr>
      <t xml:space="preserve">UNUTMAYINIZ RİZİKO KESİNTİSİ GEÇEN YILIN ÖLÜM YARDIMI ÜZERİNDEN HESAPLANMAKTADIR. GEÇEN YILIN % 20,5 NEMA ORANINA KARŞILIK GELEN EN YÜKSEK MAAŞ İLE HESAPLANAN ÖLÜM YARDIMINDAN YAPILAN RİZİKO KESİNTİSİ BİLGİLERİ SOL ALT KÖŞEDEKİ  TABLOLARDA  OTOMATİK BULUNUR VE BU TABLOYA AŞAĞIDAKİ LİSTEDEN MANTIKSAL FORMÜL İLE EŞLEŞEREK OTOMATİK OLARAK AKTARILIR. BURADAN DA 2021 YILI TABLOSUNA OTOMATİK İNTİKAL EDER. </t>
    </r>
  </si>
  <si>
    <t>RİZİKO KESİNTİSİ</t>
  </si>
  <si>
    <t>MASRAF KESİNTİSİ</t>
  </si>
  <si>
    <t xml:space="preserve">NET NEMA </t>
  </si>
  <si>
    <t>TOPLAM MAAŞ</t>
  </si>
  <si>
    <t>REZERVE EKLENEN</t>
  </si>
  <si>
    <t>OYAK EMS DEVİR MEKTUBU TARİHİ</t>
  </si>
  <si>
    <t>MAYIS</t>
  </si>
  <si>
    <t xml:space="preserve">MAYIS 2023 TARİHLİ </t>
  </si>
  <si>
    <t xml:space="preserve">MAYIS 2024 TARİHLİ </t>
  </si>
  <si>
    <t xml:space="preserve">MAYIS 2025 TARİHLİ </t>
  </si>
  <si>
    <t xml:space="preserve">MAYIS 2026 TARİHLİ </t>
  </si>
  <si>
    <t>AYRINTILI BİLGİLER</t>
  </si>
  <si>
    <t xml:space="preserve">FARKLI YATAN MAAŞLAR    MAYIS-HAZİRAN 2020 ve 2021 </t>
  </si>
  <si>
    <r>
      <rPr>
        <b/>
        <sz val="22"/>
        <color theme="1"/>
        <rFont val="Calibri"/>
        <family val="2"/>
        <charset val="162"/>
        <scheme val="minor"/>
      </rPr>
      <t>MAAŞ-REZERV KONTROL ve                                                                                        5 YILLIK GELECEĞİ PLANLAMA PROGRAMI</t>
    </r>
    <r>
      <rPr>
        <b/>
        <sz val="16"/>
        <color theme="1"/>
        <rFont val="Calibri"/>
        <family val="2"/>
        <charset val="162"/>
        <scheme val="minor"/>
      </rPr>
      <t xml:space="preserve"> </t>
    </r>
    <r>
      <rPr>
        <sz val="16"/>
        <color theme="1"/>
        <rFont val="Calibri"/>
        <family val="2"/>
        <charset val="162"/>
        <scheme val="minor"/>
      </rPr>
      <t xml:space="preserve">                                                                                                                                                           </t>
    </r>
    <r>
      <rPr>
        <sz val="11"/>
        <color theme="1"/>
        <rFont val="Calibri"/>
        <family val="2"/>
        <charset val="162"/>
        <scheme val="minor"/>
      </rPr>
      <t>(</t>
    </r>
    <r>
      <rPr>
        <b/>
        <sz val="11"/>
        <color rgb="FFFF0000"/>
        <rFont val="Calibri"/>
        <family val="2"/>
        <charset val="162"/>
        <scheme val="minor"/>
      </rPr>
      <t>Emekli Deniz Subayı ZAFER ÇALIŞKAN tarafından kurgulanmıştır.</t>
    </r>
    <r>
      <rPr>
        <sz val="11"/>
        <color theme="1"/>
        <rFont val="Calibri"/>
        <family val="2"/>
        <charset val="162"/>
        <scheme val="minor"/>
      </rPr>
      <t>)</t>
    </r>
  </si>
  <si>
    <t>ADINIZ-SOYADINIZ</t>
  </si>
  <si>
    <t>"İN OYAK BİRİKİMİNE AİT REZERV, MAAŞ, KESİNTİ, ÖLÜM YARDIMI BİLGİLERİ</t>
  </si>
  <si>
    <t>ESKİ RİZİKO FORMÜLÜ</t>
  </si>
  <si>
    <t>MAAŞ ALMA ORANINIZI GİRİNİZ. (MUTLAKA BİR ORAN GİRİNİZ)</t>
  </si>
  <si>
    <t>PROGRAMIN HESAP HATASI</t>
  </si>
  <si>
    <t>14 OCAK TARİHLİ                 KESİN REZERV</t>
  </si>
  <si>
    <t>MAAŞ ALMA ORANI (MUTLAKA BİR ORAN GİRİNİZ)</t>
  </si>
  <si>
    <r>
      <rPr>
        <b/>
        <sz val="20"/>
        <color theme="1"/>
        <rFont val="Calibri"/>
        <family val="2"/>
        <charset val="162"/>
        <scheme val="minor"/>
      </rPr>
      <t>2021</t>
    </r>
    <r>
      <rPr>
        <b/>
        <sz val="9"/>
        <color theme="1"/>
        <rFont val="Calibri"/>
        <family val="2"/>
        <charset val="162"/>
        <scheme val="minor"/>
      </rPr>
      <t xml:space="preserve"> TARİHLİ OYAK EMS DEVİR MEKTUBU</t>
    </r>
  </si>
  <si>
    <t>KESİN REZERV</t>
  </si>
  <si>
    <t>ORTALAMA REZERV</t>
  </si>
  <si>
    <t>NET NEMANIN "KESİN REZERV"E ORANI</t>
  </si>
  <si>
    <t>NET NEMANIN "NEMAYA ESAS REZERV"E ORANI</t>
  </si>
  <si>
    <t>NET NEMANIN "ORTALAMA REZERVE" ORANI</t>
  </si>
  <si>
    <t>MAAŞ  AYLIK</t>
  </si>
  <si>
    <t>ÖLÜM YRD 2020</t>
  </si>
  <si>
    <t>ilk 6 ay 2 adet 3 aylık maaş alındığından nemalandırma listesinde maaş kesintilerini Ocak ve Nisan'da üçer adet aylık maaş olarak yaptım, 2021 nema böylece doğruya yakın çıktı.</t>
  </si>
  <si>
    <r>
      <t>3AYLIK MAAŞ- 2020'de alınan ilk 2 üçaylık</t>
    </r>
    <r>
      <rPr>
        <b/>
        <sz val="9"/>
        <color rgb="FFFF0000"/>
        <rFont val="Calibri"/>
        <family val="2"/>
        <charset val="162"/>
        <scheme val="minor"/>
      </rPr>
      <t xml:space="preserve"> ve sonrasındaki aylık maaşlar (NOT 2)</t>
    </r>
  </si>
  <si>
    <t>GELECEK YILLARA DAİR TAHMİNİ  NEMA                                           ORANINIZI GİRİNİZ.</t>
  </si>
  <si>
    <t>ÖLÜM YRD.NIN "NEMAYA ESAS REZERV"E ORANI</t>
  </si>
  <si>
    <t>ÖLÜM YRD.NIN "ORTALAMA  REZERV"E ORANI</t>
  </si>
  <si>
    <r>
      <rPr>
        <b/>
        <sz val="11"/>
        <color theme="1"/>
        <rFont val="Calibri"/>
        <family val="2"/>
        <charset val="162"/>
        <scheme val="minor"/>
      </rPr>
      <t xml:space="preserve"> </t>
    </r>
    <r>
      <rPr>
        <b/>
        <sz val="20"/>
        <color theme="1"/>
        <rFont val="Calibri"/>
        <family val="2"/>
        <charset val="162"/>
        <scheme val="minor"/>
      </rPr>
      <t>2020</t>
    </r>
    <r>
      <rPr>
        <b/>
        <sz val="11"/>
        <color theme="1"/>
        <rFont val="Calibri"/>
        <family val="2"/>
        <charset val="162"/>
        <scheme val="minor"/>
      </rPr>
      <t xml:space="preserve"> </t>
    </r>
    <r>
      <rPr>
        <b/>
        <sz val="9"/>
        <color theme="1"/>
        <rFont val="Calibri"/>
        <family val="2"/>
        <charset val="162"/>
        <scheme val="minor"/>
      </rPr>
      <t>TARİHLİ OYAK EMS DEVİR MEKTUBU</t>
    </r>
  </si>
  <si>
    <r>
      <rPr>
        <b/>
        <sz val="20"/>
        <color theme="1"/>
        <rFont val="Calibri"/>
        <family val="2"/>
        <charset val="162"/>
        <scheme val="minor"/>
      </rPr>
      <t>2022</t>
    </r>
    <r>
      <rPr>
        <b/>
        <sz val="9"/>
        <color theme="1"/>
        <rFont val="Calibri"/>
        <family val="2"/>
        <charset val="162"/>
        <scheme val="minor"/>
      </rPr>
      <t xml:space="preserve"> TARİHLİ OYAK EMS DEVİR MEKTUBU</t>
    </r>
  </si>
  <si>
    <t>2022 YILI                                       OYAK HESABININ KONTROLÜ</t>
  </si>
  <si>
    <t>2022 paranın tamamı, MAAŞLAR DAHİL (NEMAYA ESAS REZERV)</t>
  </si>
  <si>
    <t xml:space="preserve"> AYLIK MAAŞ</t>
  </si>
  <si>
    <r>
      <t>14 OCAK 2021 tarihli KESİN  REZERV</t>
    </r>
    <r>
      <rPr>
        <b/>
        <sz val="11"/>
        <color rgb="FFFF0000"/>
        <rFont val="Calibri"/>
        <family val="2"/>
        <charset val="162"/>
        <scheme val="minor"/>
      </rPr>
      <t xml:space="preserve"> (NOT 1)</t>
    </r>
    <r>
      <rPr>
        <b/>
        <sz val="11"/>
        <color theme="8" tint="0.39997558519241921"/>
        <rFont val="Calibri"/>
        <family val="2"/>
        <charset val="162"/>
        <scheme val="minor"/>
      </rPr>
      <t xml:space="preserve"> 289.158 + dört maaş + 12 yeni  maaş</t>
    </r>
  </si>
  <si>
    <t>MAYIS/HAZİRAN 2021 MAAŞ</t>
  </si>
  <si>
    <t>2027'DA                   ALINACAK MAAŞ HESABI</t>
  </si>
  <si>
    <t>2026'DE                    ALINACAK MAAŞ HESABI</t>
  </si>
  <si>
    <r>
      <t xml:space="preserve">MAYIS </t>
    </r>
    <r>
      <rPr>
        <b/>
        <sz val="22"/>
        <color rgb="FFFF0000"/>
        <rFont val="Calibri"/>
        <family val="2"/>
        <charset val="162"/>
        <scheme val="minor"/>
      </rPr>
      <t>2023</t>
    </r>
    <r>
      <rPr>
        <b/>
        <sz val="22"/>
        <color theme="1"/>
        <rFont val="Calibri"/>
        <family val="2"/>
        <charset val="162"/>
        <scheme val="minor"/>
      </rPr>
      <t xml:space="preserve"> </t>
    </r>
    <r>
      <rPr>
        <b/>
        <sz val="14"/>
        <color theme="1"/>
        <rFont val="Calibri"/>
        <family val="2"/>
        <charset val="162"/>
        <scheme val="minor"/>
      </rPr>
      <t>TARİHLİ OYAK EMS DEVİR MEKTUBU</t>
    </r>
  </si>
  <si>
    <r>
      <t xml:space="preserve">MAYIS </t>
    </r>
    <r>
      <rPr>
        <b/>
        <sz val="22"/>
        <color rgb="FFFF0000"/>
        <rFont val="Calibri"/>
        <family val="2"/>
        <charset val="162"/>
        <scheme val="minor"/>
      </rPr>
      <t>2024</t>
    </r>
    <r>
      <rPr>
        <b/>
        <sz val="14"/>
        <rFont val="Calibri"/>
        <family val="2"/>
        <charset val="162"/>
        <scheme val="minor"/>
      </rPr>
      <t xml:space="preserve"> TARİHLİ OYAK EMS DEVİR MEKTUBU</t>
    </r>
  </si>
  <si>
    <r>
      <t xml:space="preserve">MAYIS </t>
    </r>
    <r>
      <rPr>
        <b/>
        <sz val="22"/>
        <color rgb="FFFF0000"/>
        <rFont val="Calibri"/>
        <family val="2"/>
        <charset val="162"/>
        <scheme val="minor"/>
      </rPr>
      <t>2025</t>
    </r>
    <r>
      <rPr>
        <b/>
        <sz val="14"/>
        <color theme="1"/>
        <rFont val="Calibri"/>
        <family val="2"/>
        <charset val="162"/>
        <scheme val="minor"/>
      </rPr>
      <t xml:space="preserve"> TARİHLİ OYAK EMS DEVİR MEKTUBU</t>
    </r>
  </si>
  <si>
    <r>
      <t>MAYIS</t>
    </r>
    <r>
      <rPr>
        <b/>
        <sz val="14"/>
        <color rgb="FFFF0000"/>
        <rFont val="Calibri"/>
        <family val="2"/>
        <charset val="162"/>
        <scheme val="minor"/>
      </rPr>
      <t xml:space="preserve"> </t>
    </r>
    <r>
      <rPr>
        <b/>
        <sz val="22"/>
        <color rgb="FFFF0000"/>
        <rFont val="Calibri"/>
        <family val="2"/>
        <charset val="162"/>
        <scheme val="minor"/>
      </rPr>
      <t>2026</t>
    </r>
    <r>
      <rPr>
        <b/>
        <sz val="14"/>
        <color theme="1"/>
        <rFont val="Calibri"/>
        <family val="2"/>
        <charset val="162"/>
        <scheme val="minor"/>
      </rPr>
      <t xml:space="preserve"> TARİHLİ OYAK EMS DEVİR MEKTUBU</t>
    </r>
  </si>
  <si>
    <r>
      <t xml:space="preserve">MAYIS </t>
    </r>
    <r>
      <rPr>
        <b/>
        <sz val="20"/>
        <color rgb="FFFF0000"/>
        <rFont val="Calibri"/>
        <family val="2"/>
        <charset val="162"/>
        <scheme val="minor"/>
      </rPr>
      <t>2027</t>
    </r>
    <r>
      <rPr>
        <b/>
        <sz val="14"/>
        <color rgb="FFFF0000"/>
        <rFont val="Calibri"/>
        <family val="2"/>
        <charset val="162"/>
        <scheme val="minor"/>
      </rPr>
      <t xml:space="preserve"> </t>
    </r>
    <r>
      <rPr>
        <b/>
        <sz val="14"/>
        <rFont val="Calibri"/>
        <family val="2"/>
        <charset val="162"/>
        <scheme val="minor"/>
      </rPr>
      <t>TARİHLİ OYAK EMS DEVİR MEKTUBU</t>
    </r>
  </si>
  <si>
    <t>2023 YILI</t>
  </si>
  <si>
    <t xml:space="preserve">2024 YILI </t>
  </si>
  <si>
    <t>2027 YILI</t>
  </si>
  <si>
    <r>
      <t xml:space="preserve">HAZİRAN </t>
    </r>
    <r>
      <rPr>
        <b/>
        <sz val="16"/>
        <color theme="1"/>
        <rFont val="Calibri"/>
        <family val="2"/>
        <charset val="162"/>
        <scheme val="minor"/>
      </rPr>
      <t>2022</t>
    </r>
    <r>
      <rPr>
        <b/>
        <sz val="11"/>
        <color theme="1"/>
        <rFont val="Calibri"/>
        <family val="2"/>
        <charset val="162"/>
        <scheme val="minor"/>
      </rPr>
      <t xml:space="preserve"> TARİHLİ OYAK EMS DEVİR MEKTUBU</t>
    </r>
  </si>
  <si>
    <r>
      <t xml:space="preserve">MAYIS </t>
    </r>
    <r>
      <rPr>
        <b/>
        <sz val="16"/>
        <color theme="1"/>
        <rFont val="Calibri"/>
        <family val="2"/>
        <charset val="162"/>
        <scheme val="minor"/>
      </rPr>
      <t>2020</t>
    </r>
    <r>
      <rPr>
        <b/>
        <sz val="11"/>
        <color theme="1"/>
        <rFont val="Calibri"/>
        <family val="2"/>
        <charset val="162"/>
        <scheme val="minor"/>
      </rPr>
      <t xml:space="preserve"> TARİHLİ OYAK EMS DEVİR MEKTUBU</t>
    </r>
  </si>
  <si>
    <t>Mayıs Haziran 2022</t>
  </si>
  <si>
    <t>2026 MAAŞLAR HARİÇ REZERV</t>
  </si>
  <si>
    <t xml:space="preserve">MAYIS 2027 TARİHLİ </t>
  </si>
  <si>
    <r>
      <t xml:space="preserve">2024 MAAŞLAR HARİÇ REZERV </t>
    </r>
    <r>
      <rPr>
        <b/>
        <sz val="12"/>
        <color rgb="FFFF0000"/>
        <rFont val="Calibri"/>
        <family val="2"/>
        <charset val="162"/>
        <scheme val="minor"/>
      </rPr>
      <t xml:space="preserve"> </t>
    </r>
    <r>
      <rPr>
        <b/>
        <sz val="12"/>
        <color rgb="FFFFFF00"/>
        <rFont val="Calibri"/>
        <family val="2"/>
        <charset val="162"/>
        <scheme val="minor"/>
      </rPr>
      <t>ve ARTIŞ ORANI</t>
    </r>
    <r>
      <rPr>
        <b/>
        <sz val="12"/>
        <color rgb="FFFF0000"/>
        <rFont val="Calibri"/>
        <family val="2"/>
        <charset val="162"/>
        <scheme val="minor"/>
      </rPr>
      <t xml:space="preserve"> </t>
    </r>
  </si>
  <si>
    <r>
      <rPr>
        <b/>
        <sz val="12"/>
        <color rgb="FFFFFF00"/>
        <rFont val="Calibri"/>
        <family val="2"/>
        <charset val="162"/>
        <scheme val="minor"/>
      </rPr>
      <t>2027 YILI YENİ MAAŞ ve ARTIŞ ORANI</t>
    </r>
    <r>
      <rPr>
        <b/>
        <sz val="12"/>
        <color rgb="FFFF0000"/>
        <rFont val="Calibri"/>
        <family val="2"/>
        <charset val="162"/>
        <scheme val="minor"/>
      </rPr>
      <t xml:space="preserve"> </t>
    </r>
  </si>
  <si>
    <r>
      <t>2027 YILI YENİ REZERV</t>
    </r>
    <r>
      <rPr>
        <b/>
        <sz val="12"/>
        <color rgb="FFFF0000"/>
        <rFont val="Calibri"/>
        <family val="2"/>
        <charset val="162"/>
        <scheme val="minor"/>
      </rPr>
      <t xml:space="preserve"> </t>
    </r>
    <r>
      <rPr>
        <b/>
        <sz val="12"/>
        <color rgb="FFFFFF00"/>
        <rFont val="Calibri"/>
        <family val="2"/>
        <charset val="162"/>
        <scheme val="minor"/>
      </rPr>
      <t>ve ARTIŞ ORANI</t>
    </r>
    <r>
      <rPr>
        <b/>
        <sz val="12"/>
        <color rgb="FFFF0000"/>
        <rFont val="Calibri"/>
        <family val="2"/>
        <charset val="162"/>
        <scheme val="minor"/>
      </rPr>
      <t xml:space="preserve"> </t>
    </r>
  </si>
  <si>
    <t>HAZİRAN 2021 VE 2022  TARİHLİ EMS MEKTUBUNDAKİ NEMA ORANI</t>
  </si>
  <si>
    <t>HAZİRAN 2021 TARİHLİ EMS MEKTUBUNDAKİ NEMA ORANI</t>
  </si>
  <si>
    <r>
      <t xml:space="preserve">RİZİKO KESİNTİSİ HESAPLAMA TABLOSU (NEMA ORANI % 27,2'YE KARŞILIK GELEN)                                                                     </t>
    </r>
    <r>
      <rPr>
        <b/>
        <sz val="14"/>
        <color rgb="FFFF0000"/>
        <rFont val="Calibri"/>
        <family val="2"/>
        <charset val="162"/>
        <scheme val="minor"/>
      </rPr>
      <t>HİÇ DOKUNMAYINIZ! NET NEMAYA HİÇ BAKMAYINIZ. NET NEMAYI YANSITMAZ. RİZİKOYU BULMAK İÇİN KULLANILACAKTIR.</t>
    </r>
  </si>
  <si>
    <t>ÖLÜM YRD 2021</t>
  </si>
  <si>
    <t>TEMMUZ 2021</t>
  </si>
  <si>
    <t>MAYIS/HAZİRAN 2021</t>
  </si>
  <si>
    <t>(D5-E8)*2</t>
  </si>
  <si>
    <t xml:space="preserve">2021 MAYIS-HAZİRAN MAAŞLARI SİZE E42 HÜCRESİNDEKİ MİKTAR KADAR EKSİK ÖDENDİ.                                                                                        2022 YILININ NEMA HESABINDA ("2022 YILI KONTROL SEKMESİ"  isimli sekmedeki İLK YIL AYLIK NEMA HESAPLAMA TABLOSUNDA)  NORMALDE PROGRAM KURGUSUNA GÖRE 5 NCİ VE 6 NCI AY NEMA HESAPLAMA HÜCRELERİNDE C5 HÜCRESİNDEKİ MAAŞINIZ KESİLECEK ŞEKİLDE KURGU YAPILMASINA RAĞMEN, BEN "2022 YILI KONTROL SEKMESİ"  isimli sekmede 5 VE 6 NCI AY NEMA HESAPLAMASINDA BU SEKMEDEKİ E8 HÜCRESİNDEKİ MAYIS VE HAZİRAN MAAŞLARINI KESTİM, YANİ AYLIK NEMA HESAPLAMA TABLOSUNDA YENİ BÜYÜK MAAŞINIZI DEĞİL, KÜÇÜK  MAAŞI ÇIKARDIM. BÖYLECE FARKLI ÖDEMEDEN KAYNAKLANAN FARKI HESABA YANSITMIŞ OLDUM. AMA ONDAN SONRAKİ YILLARDA KURGUYU ESKİSİ GİBİ BIRAKTIM, YANİ MAYIS VE HAZİRAN 2022'DE ARTIK MAAŞ FARKI OLMAYACAĞINDAN  PROGRAM DÜZGÜN ÇALIŞACAK.  </t>
  </si>
  <si>
    <t xml:space="preserve">2026 NEMA ORANI </t>
  </si>
  <si>
    <t>2022 BAŞI MAAŞLAR HARİÇ REZERV</t>
  </si>
  <si>
    <t>MAAŞ HARİÇ REZERV</t>
  </si>
  <si>
    <t>MAAŞ DAHİL REZERV</t>
  </si>
  <si>
    <t xml:space="preserve">% MAAŞ ALMA ORANI 2023 </t>
  </si>
  <si>
    <t>2022 NEMA</t>
  </si>
  <si>
    <t>2023 NEMA</t>
  </si>
  <si>
    <t>TAHMİNİ      NEMA ORANLARINA      GÖRE      AYLIK      NEMA      GETİRİSİ</t>
  </si>
  <si>
    <t>HATA</t>
  </si>
  <si>
    <t>Ü</t>
  </si>
  <si>
    <t>AYLIK/GÜNLÜK NEMA GETİRİSİ</t>
  </si>
  <si>
    <r>
      <t xml:space="preserve">2023 MAAŞLAR HARİÇ KESİN REZERV ve ARTIŞ ORANI (maaş farkı giderilmemiş) </t>
    </r>
    <r>
      <rPr>
        <b/>
        <sz val="12"/>
        <color rgb="FFFF0000"/>
        <rFont val="Calibri"/>
        <family val="2"/>
        <charset val="162"/>
        <scheme val="minor"/>
      </rPr>
      <t xml:space="preserve"> </t>
    </r>
  </si>
  <si>
    <t>BİR ÖNCEKİ YILIN MAAŞI da KULLANILIR?</t>
  </si>
  <si>
    <t>MAAŞ ARTIŞI</t>
  </si>
  <si>
    <t>OYAK EMS</t>
  </si>
  <si>
    <t>SGK</t>
  </si>
  <si>
    <t>TOPLAM                YILLIK MAAŞ</t>
  </si>
  <si>
    <t>BANKAYA TAŞIDIĞIM                                     YILLIK MAAŞ (HAZİRAN'DAN MAYIS'A)</t>
  </si>
  <si>
    <t>net nemanın (gelirin) %5</t>
  </si>
  <si>
    <t>kalan net nema</t>
  </si>
  <si>
    <t>kalanın %50 si</t>
  </si>
  <si>
    <t>maaş</t>
  </si>
  <si>
    <t>MAAŞLAR HARİÇ KESİN REZERV</t>
  </si>
  <si>
    <t>TL fazla hesaplanmış oluyor.</t>
  </si>
  <si>
    <t xml:space="preserve">%5 garanti gelir  ortalama rezervden kesilirse, maaş </t>
  </si>
  <si>
    <t>ortalama rezervin 5%'i</t>
  </si>
  <si>
    <t>%5 garanti gelir=</t>
  </si>
  <si>
    <t>FARK</t>
  </si>
  <si>
    <t>KESİN REZERV gün</t>
  </si>
  <si>
    <t>KESİN REZERV ay</t>
  </si>
  <si>
    <t>2023 2 GÜNLÜK BANKA KAYBI (YILLIK)</t>
  </si>
  <si>
    <t>2022 2 GÜNLÜK BANKA GELİR KAYBI (YILLIK)</t>
  </si>
  <si>
    <t>MAAŞ BANKAYA 2 GÜN ÖNCE YATIYOR</t>
  </si>
  <si>
    <t>TOPLAM NEMA GETİRİ (2 GÜNLÜK MAAŞ ERKEN YATIŞ FARKI ÇIKARILDI)</t>
  </si>
  <si>
    <t>2024 2 GÜNLÜK BANKA KAYBI (YILLIK)</t>
  </si>
  <si>
    <t>2025 2 GÜNLÜK BANKA KAYBI (YILLIK)</t>
  </si>
  <si>
    <t>2026 2 GÜNLÜK BANKA KAYBI (YILLIK)</t>
  </si>
  <si>
    <t>AYLIK GETİRİ (GÜNLÜK HESAP)</t>
  </si>
  <si>
    <t xml:space="preserve"> AYLIK HESAP (YANLIŞ)</t>
  </si>
  <si>
    <t>2027 YILINDA ÖLÜM YARDIMI</t>
  </si>
  <si>
    <t>2027 MAAŞLAR HARİÇ REZERV</t>
  </si>
  <si>
    <t>AYLIK MAAŞ 2026'de alınan ilk 5 ay ve sonrasındaki 7 ay MAAŞ</t>
  </si>
  <si>
    <t>AYLIK MAAŞ 2025'de alınan ilk 5 ay ve sonrasındaki 7 ay MAAŞ</t>
  </si>
  <si>
    <t>AYLIK MAAŞ 2024'de alınan ilk 5 ay ve sonrasındaki 7 ay MAAŞ)</t>
  </si>
  <si>
    <t xml:space="preserve">AYLIK MAAŞ 2023'de alınan ilk 5 ay ve sonrasındaki 7 ay MAAŞ </t>
  </si>
  <si>
    <t xml:space="preserve">AYLIK MAAŞ 2022'de alınan ilk 5 ay ve sonrasındaki 7 ay MAAŞ </t>
  </si>
  <si>
    <t>2028'DA                   ALINACAK MAAŞ HESABI</t>
  </si>
  <si>
    <t>2028 YILINDA ÖLÜM YARDIMI</t>
  </si>
  <si>
    <t xml:space="preserve">2027 NEMA ORANI </t>
  </si>
  <si>
    <t>TAHMİNİ NEMA</t>
  </si>
  <si>
    <t xml:space="preserve">MAYIS 2028 TARİHLİ </t>
  </si>
  <si>
    <r>
      <rPr>
        <b/>
        <sz val="11"/>
        <color theme="1"/>
        <rFont val="Calibri"/>
        <family val="2"/>
        <charset val="162"/>
        <scheme val="minor"/>
      </rPr>
      <t xml:space="preserve"> </t>
    </r>
    <r>
      <rPr>
        <b/>
        <sz val="18"/>
        <color theme="1"/>
        <rFont val="Calibri"/>
        <family val="2"/>
        <charset val="162"/>
        <scheme val="minor"/>
      </rPr>
      <t xml:space="preserve">2026 YILI TAHMİNİ  </t>
    </r>
    <r>
      <rPr>
        <b/>
        <sz val="9"/>
        <color theme="1"/>
        <rFont val="Calibri"/>
        <family val="2"/>
        <charset val="162"/>
        <scheme val="minor"/>
      </rPr>
      <t xml:space="preserve">                                                  </t>
    </r>
    <r>
      <rPr>
        <b/>
        <sz val="18"/>
        <color theme="1"/>
        <rFont val="Calibri"/>
        <family val="2"/>
        <charset val="162"/>
        <scheme val="minor"/>
      </rPr>
      <t xml:space="preserve">  OYAK EMS DEVİR MEKTUBU</t>
    </r>
  </si>
  <si>
    <r>
      <rPr>
        <b/>
        <sz val="11"/>
        <color theme="1"/>
        <rFont val="Calibri"/>
        <family val="2"/>
        <charset val="162"/>
        <scheme val="minor"/>
      </rPr>
      <t xml:space="preserve"> </t>
    </r>
    <r>
      <rPr>
        <b/>
        <sz val="18"/>
        <color theme="1"/>
        <rFont val="Calibri"/>
        <family val="2"/>
        <charset val="162"/>
        <scheme val="minor"/>
      </rPr>
      <t>2027 YILI TAHMİNİ</t>
    </r>
    <r>
      <rPr>
        <b/>
        <sz val="9"/>
        <color theme="1"/>
        <rFont val="Calibri"/>
        <family val="2"/>
        <charset val="162"/>
        <scheme val="minor"/>
      </rPr>
      <t xml:space="preserve">                                                                      </t>
    </r>
    <r>
      <rPr>
        <b/>
        <sz val="18"/>
        <color theme="1"/>
        <rFont val="Calibri"/>
        <family val="2"/>
        <charset val="162"/>
        <scheme val="minor"/>
      </rPr>
      <t xml:space="preserve"> OYAK EMS DEVİR MEKTUBU</t>
    </r>
  </si>
  <si>
    <r>
      <rPr>
        <b/>
        <sz val="11"/>
        <color theme="1"/>
        <rFont val="Calibri"/>
        <family val="2"/>
        <charset val="162"/>
        <scheme val="minor"/>
      </rPr>
      <t xml:space="preserve"> </t>
    </r>
    <r>
      <rPr>
        <b/>
        <sz val="18"/>
        <color theme="1"/>
        <rFont val="Calibri"/>
        <family val="2"/>
        <charset val="162"/>
        <scheme val="minor"/>
      </rPr>
      <t>2028 YILI TAHMİNİ</t>
    </r>
    <r>
      <rPr>
        <b/>
        <sz val="9"/>
        <color theme="1"/>
        <rFont val="Calibri"/>
        <family val="2"/>
        <charset val="162"/>
        <scheme val="minor"/>
      </rPr>
      <t xml:space="preserve">                                                                       </t>
    </r>
    <r>
      <rPr>
        <b/>
        <sz val="18"/>
        <color theme="1"/>
        <rFont val="Calibri"/>
        <family val="2"/>
        <charset val="162"/>
        <scheme val="minor"/>
      </rPr>
      <t>OYAK EMS DEVİR MEKTUBU</t>
    </r>
  </si>
  <si>
    <t xml:space="preserve">TAHMİNİ                  NEMA </t>
  </si>
  <si>
    <t>2023 YILI OYAK HESABININ KONTROLÜ</t>
  </si>
  <si>
    <t>OYAK'IN HESABI</t>
  </si>
  <si>
    <t>Gördüğünüz kadar kolay değil malesef. Bu gördüğünüz bir web sayfasıdır(HTML) www.ornek.com gibi bir web adresinizin olması lazım. Daha sonra bu kodlarınızı buraya yüklemeniz gerekiyor.
Web sayfası kodlama HTML dir.
web sayfası görünümünü biçimlendirme CSS tir.
web sayfası hesap kitap aksiyon kazandırma JAVASCRIPT tir.
css kütüphanesi olarak BOOTSTRAP kullanıyorum.
Javascript kütüphanesi olarak ta jquery kullanıyorum.
ben web sayfasını google ın ücretsiz hizmeti olan blogger.com adresinden alan ismini aldım. Sizde faydalanabilirsiniz ancak dediğim gibi web kodlamasını öğrenmeniz gerekiyor.
Bununla ilgili öğreticiler youtube ta mevcuttur.
HTML ve CSS dersleri
https://www.youtube.com/playlist?list=PLY20HpFruiK3ZCfdEtpUHNhNWn61VGEns
JAVASCRIPT dersleri
https://www.youtube.com/playlist?list=PLY20HpFruiK12kqke7T5OQVu1BK2ELQL8
JQUERY dersleri
https://www.youtube.com/playlist?list=PLY20HpFruiK1tt11fFZdWgSqsFd5Irhsl
BOOTSTRAP dersleri
https://www.youtube.com/playlist?list=PLY20HpFruiK13LB2jTkET4DkJP9eD2HZf
Blogger.com dan alan adı 
https://www.youtube.com/playlist?list=PLXQE1fZqFwxOOuLxCKruPF2Kl-pMif986
https://www.youtube.com/playlist?list=PLodxKlr97awDmocHHAE491YzxtzWbN8nR
Robotu bu kodlama teknolojilerini kullanarak yaptım. Size daha fazla yardımcı olamayacağım ama size hangi programlama dilleri ile Web programcılığına adım atabileceğizi belirttim. iyi günle</t>
  </si>
  <si>
    <t>GELECEK YILLAR TAHMİNİ İÇİN VERİ GİRİŞİ                                 YAPILACAK TABLO</t>
  </si>
  <si>
    <t xml:space="preserve"> AYLIK                           MAAŞ</t>
  </si>
  <si>
    <t>GELECEK YILLARDA  MAAŞ                             ALACAK MISINIZ?                                                       ALACAKSANIZ 1 GİRİNİZ.           ALMAYACAKSANIZ 0 GİRİNİZ</t>
  </si>
  <si>
    <t>PROGRAMIN HATASI</t>
  </si>
  <si>
    <t xml:space="preserve">GELECEK YILLARA DAİR TAHMİNİ  NEMA         </t>
  </si>
  <si>
    <t>GERÇEKLEŞEN                   NEMA                    ORANI</t>
  </si>
  <si>
    <t>MAAŞ ALMA ORANI                                             (MUTLAKA BİR ORAN GİRİNİZ)</t>
  </si>
  <si>
    <t xml:space="preserve">GEÇMİŞ YILLARA AİT                                                         VERİ GİRİŞİ YAPILACAK TABLO                                                                                     </t>
  </si>
  <si>
    <t>DOĞRULUK ORANI</t>
  </si>
  <si>
    <t xml:space="preserve">Emekli Deniz Kurmay Kıdemli Albay                                                                             Zafer ÇALIŞKAN                                                                                                               tarafından dizayn edilmiştir.  zorrozor@gmail.com                                                                                                                                                                                            </t>
  </si>
  <si>
    <t>GEÇMİŞ YILLARA AİT                                                                                         VERİLER  (REZERV VE AYLIK MAAŞ)</t>
  </si>
  <si>
    <t>GELECEK YILLAR TAHMİN TABLOSU</t>
  </si>
  <si>
    <r>
      <rPr>
        <b/>
        <sz val="16"/>
        <rFont val="Calibri"/>
        <family val="2"/>
        <charset val="162"/>
        <scheme val="minor"/>
      </rPr>
      <t>GELECEK YILLARDA</t>
    </r>
    <r>
      <rPr>
        <b/>
        <sz val="11"/>
        <rFont val="Calibri"/>
        <family val="2"/>
        <charset val="162"/>
        <scheme val="minor"/>
      </rPr>
      <t xml:space="preserve"> </t>
    </r>
    <r>
      <rPr>
        <b/>
        <sz val="22"/>
        <rFont val="Calibri"/>
        <family val="2"/>
        <charset val="162"/>
        <scheme val="minor"/>
      </rPr>
      <t xml:space="preserve"> MAAŞ ALMA DURUMU </t>
    </r>
    <r>
      <rPr>
        <b/>
        <sz val="11"/>
        <rFont val="Calibri"/>
        <family val="2"/>
        <charset val="162"/>
        <scheme val="minor"/>
      </rPr>
      <t xml:space="preserve">                             </t>
    </r>
    <r>
      <rPr>
        <b/>
        <sz val="22"/>
        <rFont val="Calibri"/>
        <family val="2"/>
        <charset val="162"/>
        <scheme val="minor"/>
      </rPr>
      <t>MAAŞ ALAN:  1                 MAAŞ ALMAYAN: 0</t>
    </r>
  </si>
  <si>
    <t xml:space="preserve">2022 YILINDA MAAŞ ALMA TERCİHİ                  Maaş alan: 1                           Maaş almayan:0 </t>
  </si>
  <si>
    <t>MAAŞ ÖDENMESİ SONRASI KALAN REZERV</t>
  </si>
  <si>
    <t>AYLIK GÜNCEL TAHMİNİ TOPLAM VARLIK, ÖDENMEMİŞ MAAŞLAR DAHİL                       (KESİNTİLER YAPILMAMIŞ) TL</t>
  </si>
  <si>
    <t>REZERV DEĞERİ OYAK TARAFINDAN 14  OCAK İTİBARİ İLE AÇIKLANDIĞINDAN OCAK VE ARALIK AYI NEMA GETİRİSİ İLE DİĞER AY GETİRİLERİ FARKLI GÜN SAYILARI İLE HESAPLANMIŞTIR.</t>
  </si>
  <si>
    <t>NEMAYA ESAS REZERV (MAAŞLAR DAHİL)</t>
  </si>
  <si>
    <t>NEMA ORANLARI</t>
  </si>
  <si>
    <t xml:space="preserve">   TAHMİNİ NEMA              </t>
  </si>
  <si>
    <r>
      <rPr>
        <b/>
        <sz val="11"/>
        <color theme="1"/>
        <rFont val="Calibri"/>
        <family val="2"/>
        <charset val="162"/>
        <scheme val="minor"/>
      </rPr>
      <t>RİZİKO PRİMİ:</t>
    </r>
    <r>
      <rPr>
        <sz val="11"/>
        <color theme="1"/>
        <rFont val="Calibri"/>
        <family val="2"/>
        <charset val="162"/>
        <scheme val="minor"/>
      </rPr>
      <t xml:space="preserve"> Ölüm yardımı için kesilir. Yıl içinde %50 maaş oranı ile alınabilecek en yüksek maaş ortalamasının 10 katının yüzde 2'sidir. </t>
    </r>
  </si>
  <si>
    <t>NEMA</t>
  </si>
  <si>
    <t>MASRAF</t>
  </si>
  <si>
    <r>
      <rPr>
        <b/>
        <sz val="11"/>
        <color theme="1"/>
        <rFont val="Calibri"/>
        <family val="2"/>
        <charset val="162"/>
        <scheme val="minor"/>
      </rPr>
      <t>MASRAF KESİNTİSİ:</t>
    </r>
    <r>
      <rPr>
        <sz val="11"/>
        <color theme="1"/>
        <rFont val="Calibri"/>
        <family val="2"/>
        <charset val="162"/>
        <scheme val="minor"/>
      </rPr>
      <t xml:space="preserve"> OYAK Genel Müdürlüğünün yıllık bütçesi için kesilir. Tüm masrafların karşılanması içindir. Yıllık  nemanın yüzde 2,6167 oranında kesilir. OYAK Genel Kurulu isterse her yıl bu oranı düşürebilir veya artırabilir. </t>
    </r>
  </si>
  <si>
    <t>BENİM KATKIM</t>
  </si>
  <si>
    <t>RİZİKO PRİMİ, ÖLÜM YARDIMI VE MASRAF KESİNTİSİ</t>
  </si>
  <si>
    <t>KESİN HESAP</t>
  </si>
  <si>
    <t>TAHMİNİ HESAP</t>
  </si>
  <si>
    <r>
      <rPr>
        <b/>
        <u/>
        <sz val="28"/>
        <color rgb="FFFF0000"/>
        <rFont val="Calibri"/>
        <family val="2"/>
        <charset val="162"/>
        <scheme val="minor"/>
      </rPr>
      <t>KESİN REZERV:</t>
    </r>
    <r>
      <rPr>
        <b/>
        <sz val="28"/>
        <color theme="1"/>
        <rFont val="Calibri"/>
        <family val="2"/>
        <charset val="162"/>
        <scheme val="minor"/>
      </rPr>
      <t xml:space="preserve"> Yeni maaşlar hariç, eski maaşların 5 adedi dahil rezerv toplamıdır. 14 Ocak itibariyle olan rezervdir ve Mayıs ayında size OYAK'tan gelen EMS Devir Mektubunda yazar.                                                                                                                                                                                                                                                                                                 </t>
    </r>
    <r>
      <rPr>
        <b/>
        <u/>
        <sz val="28"/>
        <color rgb="FF0070C0"/>
        <rFont val="Calibri"/>
        <family val="2"/>
        <charset val="162"/>
        <scheme val="minor"/>
      </rPr>
      <t>NEMAYA ESAS REZERV:</t>
    </r>
    <r>
      <rPr>
        <b/>
        <sz val="28"/>
        <color theme="1"/>
        <rFont val="Calibri"/>
        <family val="2"/>
        <charset val="162"/>
        <scheme val="minor"/>
      </rPr>
      <t xml:space="preserve"> Eski maaşların 5 adedi dahil, yeni maaşların 12 adedi dahil rezerv toplamıdır ve yıl içinde nemalanmaya Ocak ayında başlayan toplam rezerv tutarıdır. Her ay ödenen maaşlar bu toplamdan düşer, kalan rezerv nemalanmaya devam eder ve bu süreç Aralık ayına kadar böyle sürer. Ocak-Mayıs arası eski 5 maaş ödenir, Haziran-Aralık arası yeni maaşın 7 adedi ödenir ve kalan 5 yeni maaş önümüzdeki yıla devreder ve yeni yılın kesin rezervinin içinde gösterilmeye devam eder.                                                       </t>
    </r>
    <r>
      <rPr>
        <b/>
        <u/>
        <sz val="28"/>
        <color theme="9" tint="-0.249977111117893"/>
        <rFont val="Calibri"/>
        <family val="2"/>
        <charset val="162"/>
        <scheme val="minor"/>
      </rPr>
      <t>ORTALAMA REZERV</t>
    </r>
    <r>
      <rPr>
        <b/>
        <sz val="28"/>
        <color theme="1"/>
        <rFont val="Calibri"/>
        <family val="2"/>
        <charset val="162"/>
        <scheme val="minor"/>
      </rPr>
      <t xml:space="preserve">: Size her ay ödenen maaşlar nedeniyle her ay "nemaya esas rezerv miktarı" eksilir, her ay maaş ödendikçe yıl sonuna kadar eski 5 adet maaş düşer, yeni maaşlardan da 7 adedi düşer. Dolayısı ile her ay sonunda farklı bir rezerviniz olur. Bu aylık kalan rezervlerin yıllık ortalamasına" ortalama rezerv" denir ve pratik olarak yıllık net nema bu ortalama rezerv üzerinden de kabaca hesaplanabilir.  Şöyle ki, "ortalama rezerv" miktarı nema (oranı) ile çarpılır, yüze bölünür, çıkan rakamdan riziko ve masraf primi kesilir ve net nema değerine kabaca ulaşılır. Neden kabaca dedim, çünkü rezervin 14 Ocak itibariyle açıklanması nedeniyle Ocak nema hesabı 16 gün üzerinden, Aralık nema hesabı 44 gün üzerinden, diğer aylar 30/31 gün üzerinden hesaplandığında net nema hesabı daha doğru değer verir, ama net nema hesabı "ortalama rezerv" üzerinden yapılınca ise net nema hesabında küçük negatif farklar ortaya çıkar.  </t>
    </r>
  </si>
  <si>
    <r>
      <rPr>
        <b/>
        <sz val="11"/>
        <color theme="1"/>
        <rFont val="Calibri"/>
        <family val="2"/>
        <charset val="162"/>
        <scheme val="minor"/>
      </rPr>
      <t>NEMAYA ESAS REZERV:</t>
    </r>
    <r>
      <rPr>
        <sz val="11"/>
        <color theme="1"/>
        <rFont val="Calibri"/>
        <family val="2"/>
        <charset val="162"/>
        <scheme val="minor"/>
      </rPr>
      <t xml:space="preserve"> Eski maaşların 5 adedi dahil, yeni maaşların 12 adedi dahil rezerv toplamıdır ve yıl içinde nemalanmaya Ocak ayında başlayan toplam rezerv tutarıdır. Her ay ödenen maaşlar bu toplamdan düşer, kalan rezerv nemalanmaya devam eder ve bu süreç Aralık ayına kadar böyle sürer. Ocak-Mayıs arası eski 5 maaş ödenir, Haziran-Aralık arası yeni maaşın 7 adedi ödenir ve kalan 5 yeni maaş önümüzdeki yıla devreder ve yeni yılın kesin rezervinin içinde gösterilmeye devam eder.         </t>
    </r>
  </si>
  <si>
    <t>KESİN NEMA</t>
  </si>
  <si>
    <t>OYAK GENEL MÜDÜRLÜĞÜNE AKTARILACAK TAHMİNİ MASRAF KESİNTİSİ TOPLAMI</t>
  </si>
  <si>
    <t>MAAŞ TERCİH ORANI</t>
  </si>
  <si>
    <t>MAAŞIN ALINDIĞI                         GERÇEK YÜZDE</t>
  </si>
  <si>
    <t>REZERVE EKLENEN YÜZDE</t>
  </si>
  <si>
    <t>NEMA (ORANI)</t>
  </si>
  <si>
    <t xml:space="preserve">100.000 TL ORTALAMA REZERV MİKTARI İÇİN ÖRNEK NET MAAŞ                                                                                       </t>
  </si>
  <si>
    <r>
      <rPr>
        <b/>
        <sz val="11"/>
        <color rgb="FFFF0000"/>
        <rFont val="Calibri"/>
        <family val="2"/>
        <charset val="162"/>
        <scheme val="minor"/>
      </rPr>
      <t xml:space="preserve">ORTALAMA REZERV: </t>
    </r>
    <r>
      <rPr>
        <b/>
        <sz val="11"/>
        <color theme="1"/>
        <rFont val="Calibri"/>
        <family val="2"/>
        <charset val="162"/>
        <scheme val="minor"/>
      </rPr>
      <t xml:space="preserve">Size her ay ödenen maaşlar nedeniyle her ay "nemaya esas rezerv miktarı" eksilir, her ay maaş ödendikçe yıl sonuna kadar eski 5 adet maaş düşer, yeni maaşlardan da 7 adedi düşer. Dolayısı ile her ay sonunda farklı bir rezerviniz olur. Bu aylık kalan rezervlerin yıllık ortalamasına" ortalama rezerv" denir ve pratik olarak yıllık net nema bu ortalama rezerv üzerinden de kabaca hesaplanabilir.  Şöyle ki, "ortalama rezerv" miktarı nema (oranı) ile çarpılır, yüze bölünür, çıkan rakamdan riziko ve masraf primi kesilir ve net nema değerine kabaca ulaşılır. Neden kabaca dedim, çünkü rezervin 14 Ocak itibariyle açıklanması nedeniyle Ocak nema hesabı 16 gün üzerinden, Aralık nema hesabı 44 gün üzerinden, diğer aylar 30/31 gün üzerinden hesaplandığında net nema hesabı daha doğru değer verir, ama net nema hesabı "ortalama rezerv" üzerinden yapılınca ise net nema hesabında küçük negatif farklar ortaya çıkar.  </t>
    </r>
  </si>
  <si>
    <r>
      <rPr>
        <b/>
        <sz val="10"/>
        <color rgb="FF0070C0"/>
        <rFont val="Segoe UI"/>
        <family val="2"/>
        <charset val="162"/>
      </rPr>
      <t> ÖLÜM YARDIMI:</t>
    </r>
    <r>
      <rPr>
        <b/>
        <sz val="10"/>
        <color rgb="FF000000"/>
        <rFont val="Segoe UI"/>
        <family val="2"/>
        <charset val="162"/>
      </rPr>
      <t xml:space="preserve"> EMS’deki üyenin ölümü halinde mirasçılara üyenin ölüm tarihinde alabileceği en yüksek aylık maaşın 10 katı tutarı olarak ödenir.</t>
    </r>
  </si>
  <si>
    <t>TASARRUF EDECEĞİM MİKTAR (TL)</t>
  </si>
  <si>
    <t xml:space="preserve">OYAK GN.MD.LÜĞÜ BÜTÇESİNİN 2023 YIL SONU TAHMİNİ GERÇEKLEŞME ORANI (HARCANMA ORANI) </t>
  </si>
  <si>
    <t>TAHMİNİ BÜTÇE GERÇEKLEŞME ORANI GİRİNİZ</t>
  </si>
  <si>
    <t>OYAK GN.MD.LÜĞÜ'NÜN BÜTÇE GERÇEKLEŞME ORANINA GÖRE 2023'DE HARCADIĞI TAHMİNİ PARA</t>
  </si>
  <si>
    <t xml:space="preserve">ORTALAMA REZERVİNİZ </t>
  </si>
  <si>
    <t>PAY ARTIRIMI</t>
  </si>
  <si>
    <t>EMSAL TAMAMLAMA</t>
  </si>
  <si>
    <t>REZERV ARTIRMA</t>
  </si>
  <si>
    <t>ALT LİMİT</t>
  </si>
  <si>
    <t>ÜST LİMİT</t>
  </si>
  <si>
    <t>TAHMİNİ YIL SONU</t>
  </si>
  <si>
    <t>??????</t>
  </si>
  <si>
    <t>EMEKLİ KATILIM ORANI</t>
  </si>
  <si>
    <t>EMSAL AİDAT TOPLAMI+EMEKLİ ESKİ 5 MAAŞ+EMEKLİ YENİ 7 MAAŞ TOPLAMI ???</t>
  </si>
  <si>
    <t>EMEKLİ YIL BAŞI NEMAYA ESAS REZERV</t>
  </si>
  <si>
    <t>EMEKLİ YIL SONU REZERVİ</t>
  </si>
  <si>
    <t>751.904+5 ESKİ MAAŞ+7 YENİ MAAŞ</t>
  </si>
  <si>
    <t>REZERVİ EN AZ 1/4 ORANINDA ARTIRABİLİR. EN FAZLA DA EMSALİN "EMEKLİNİN KATILIM ORANI KARŞILIĞI OLAN" RAKAMA TEKABÜL EDEN MİKTARA TAMAMLAYACAK KADAR ARTIRABİLİR Kİ ONUN ADI DA EMSAL TAMAMLAMADIR.</t>
  </si>
  <si>
    <t>KESİN REZERV-5 ESKİ MAAŞ- (?) 7 YENİ MAAŞ</t>
  </si>
  <si>
    <t>EMEKLİ YENİ REZERV</t>
  </si>
  <si>
    <t>2024 OCAK</t>
  </si>
  <si>
    <t>14/01/2023 rezerv</t>
  </si>
  <si>
    <t>4/4</t>
  </si>
  <si>
    <t>EMSAL YIL SONU AİDATLI REZERVİ (KESİN REZERV+??12 AİDAT TOPLAMI)</t>
  </si>
  <si>
    <t>eski 3 aylık  maaş</t>
  </si>
  <si>
    <t>yeni 3 aylık maaş</t>
  </si>
  <si>
    <t>KESİNTİDEN SONRA NET AİDAT TOPLAMI</t>
  </si>
  <si>
    <t>YIL SONU ARALIK</t>
  </si>
  <si>
    <t>EMEKLİ 2024 YIL BAŞI NEMAYA ESAS REZERV</t>
  </si>
  <si>
    <t>EMSAL AİDATSIZ REZERV</t>
  </si>
  <si>
    <t>EMSAL YIL SONU REZERVİ (KESİN REZERV + 12 NET AİDAT TOPLAMI)</t>
  </si>
  <si>
    <t>EMEKLİDEN toplam FARKI</t>
  </si>
  <si>
    <t>zafer emsal ?? Yanlış</t>
  </si>
  <si>
    <t>eski aylık  maaş</t>
  </si>
  <si>
    <t>yeni aylık maaş</t>
  </si>
  <si>
    <t>YIL İÇİ EKSİLMEM</t>
  </si>
  <si>
    <t>EKSİLME SONRASI NEMAYA ESAS REZERVDEN KALAN</t>
  </si>
  <si>
    <t>nemaya esas rezerv</t>
  </si>
  <si>
    <t>PAY DEĞERİ</t>
  </si>
  <si>
    <t>EMSAL YENİ REZERV</t>
  </si>
  <si>
    <t>EMSAL TAMAMLAMA TAHMİNİ</t>
  </si>
  <si>
    <t>MEVCUT SABİT MASRAF KESİNTİSİ ORANI %</t>
  </si>
  <si>
    <r>
      <rPr>
        <b/>
        <sz val="11"/>
        <color rgb="FFFF0000"/>
        <rFont val="Calibri"/>
        <family val="2"/>
        <charset val="162"/>
        <scheme val="minor"/>
      </rPr>
      <t>% 5 TEKNİK FAİZ GARANTİSİNİN MAAŞ ALMA ORAN TERCİHİNE ETKİSİ VE BUNUN REZERV VE MAAŞI NASIL DEĞİŞTİRDİĞİ</t>
    </r>
    <r>
      <rPr>
        <b/>
        <sz val="11"/>
        <color theme="1"/>
        <rFont val="Calibri"/>
        <family val="2"/>
        <charset val="162"/>
        <scheme val="minor"/>
      </rPr>
      <t xml:space="preserve">
205 sayılı OYAK kanununa göre rezervlere % 5 teknik faiz garantisi verilmiştir. Yıllık gelir performansı ne olursa olsun, üye rezervlerine en az 5 puan artış yapılmak zorundadır. Maaş alma tercihinde bulunanlar hangi maaş alma oranını seçerse seçsin, nemanın 5 puanını maaş olarak almak zorundadır.
Nema oranından rezerve ve maaşa ne kadar pay ayrılacağı şöyle hesap edilir: Önce nema oranından 5 eksiltilir, kalan nema oranı "maaş alma tercih oranına" göre rezerv ve maaş arasında pay edilir, ayrılan 5 puanlık nema maaşa ayrılan paya eklenir.
Örneğin; nema oranı 30 olarak tespit edildiğinde, bunun 5 puanı eksiltilir, kalan 25 puan maaş ve rezerve "maaş alma oran tercihine" göre pay edilir ve eğer üye maaş %50, rezerv yüzde 50 tercihi yapmışsa, 25 puanın yüzde 50'si olan 12,5 puan rezerv için ayrılır, 25 puanın diğer %50'si maaş için ayrılır ve buna daha önce garanti olarak ayrılan 5 puan eklenir ve maaşa ayrılan pay (5+12,5) 17,5 puan olur. Bu payların net nema miktarından alacağı paranın oranı (yüzde karşılığı) ise maaş için %58,33 olur, rezerv için ise %41,67 olur.                                                                                                                   Anlattığım pay hesabı sistemi nedeniyle; nema oranı büyüdüğünde net nemadan maaşa ayrılan para azalır ve rezerve eklenen para artar. Nema oranının küçülmesi durumunda ise tersi olur, yani nema oranı küçüldüğünde net nemadan maaşa ayrılan para artar ve rezerve eklenen para azalır.                                                                                                                                                                                                   5 puanlık garantinin maaşa ve rezerve etkisi tablodan izlenebilir.                                                                                                                                                                                                                               </t>
    </r>
    <r>
      <rPr>
        <b/>
        <sz val="11"/>
        <color rgb="FFFF0000"/>
        <rFont val="Calibri"/>
        <family val="2"/>
        <charset val="162"/>
        <scheme val="minor"/>
      </rPr>
      <t>SONUÇ:</t>
    </r>
    <r>
      <rPr>
        <b/>
        <sz val="11"/>
        <color theme="1"/>
        <rFont val="Calibri"/>
        <family val="2"/>
        <charset val="162"/>
        <scheme val="minor"/>
      </rPr>
      <t xml:space="preserve"> 5 puanlık teknik faiz garantisi bizim maaş alma oranlarımızı etkilemektedir ve bu nedenle maaş alma oranının gerçekte ne kadar olmasını istiyorsak, bunu sağlamak maksadıyla hangi oranda tercih yapmamız gerektiğini anlamak için yandaki tabloyu kullanabilirsiniz.
Ezbere maaş alma oranı seçmeyiniz. İstediğiniz maaş miktarına karar veriniz ve bu miktar kadar maaş almak için hangi maaş alma oran tercihinde bulunmanız gerektiğine siz karar veriniz.
Bundan rezervinizin ne kadar etkilendiğini de görünüz.</t>
    </r>
  </si>
  <si>
    <t>ENFLASYON</t>
  </si>
  <si>
    <t>NEMA/ENFLASYON ORANI</t>
  </si>
  <si>
    <t>NEMA GETİRİ SIRALAMASI</t>
  </si>
  <si>
    <t>YIL SAYISI</t>
  </si>
  <si>
    <t>ÖZEL NEDEN</t>
  </si>
  <si>
    <t>OYAKBANK SATIŞI</t>
  </si>
  <si>
    <t>ENF. MUHASEBESİ</t>
  </si>
  <si>
    <t>SALT NEMA SIRALAMASI</t>
  </si>
  <si>
    <t>NEMA/ENFLASYON ORANI                            (GETİRİ KISTASI)</t>
  </si>
  <si>
    <t>YÜKSEK ENFLASYON</t>
  </si>
  <si>
    <t>VARLIK</t>
  </si>
  <si>
    <t xml:space="preserve">ŞİRKET VARLIĞI NEMA YÜZDESİ </t>
  </si>
  <si>
    <t xml:space="preserve">DİĞER VARLIK NEMA YÜZDESİ </t>
  </si>
  <si>
    <t>70,24+53,86=124,10</t>
  </si>
  <si>
    <t>30,72+39,98=70,70</t>
  </si>
  <si>
    <t>DEK" ŞİRKET" KATKI ORANI-YÜZDE                   (OYAK VERİSİ)</t>
  </si>
  <si>
    <t>DEK (OYAK VERİSİ)</t>
  </si>
  <si>
    <t>2022 SONU NET VARLIK                   (OYAK VERİSİ)</t>
  </si>
  <si>
    <t>2022 REZERV</t>
  </si>
  <si>
    <t>2022 ŞİRKET DEK (milyar TL)</t>
  </si>
  <si>
    <t>2022 DEK (OYAK VERİSİ)</t>
  </si>
  <si>
    <t>2021 DEK (OYAK VERİSİ)</t>
  </si>
  <si>
    <t>VARLIK HATASI MİLYAR TL</t>
  </si>
  <si>
    <t>VARLIK HATA ORANI</t>
  </si>
  <si>
    <t>VARLIĞIN 90,1 NEMASI</t>
  </si>
  <si>
    <t>2021 rezerv</t>
  </si>
  <si>
    <t>2022 SONU VARLIK (OYAK VERİSİ)</t>
  </si>
  <si>
    <t>FİN+MENK</t>
  </si>
  <si>
    <t>ŞİRKET</t>
  </si>
  <si>
    <t>2023 VERİMLİLİK</t>
  </si>
  <si>
    <t>YENİ VARLIK</t>
  </si>
  <si>
    <t>TOPLAM VARLIK</t>
  </si>
  <si>
    <t>VARSAYIM</t>
  </si>
  <si>
    <t>DEK TAHMİNİ                   (ENF. MUHASEBESİ İLE)</t>
  </si>
  <si>
    <t>MİNİMUM</t>
  </si>
  <si>
    <t>İYİMSER</t>
  </si>
  <si>
    <t>EN İYİMSER</t>
  </si>
  <si>
    <t>FİNANS+MENKUL</t>
  </si>
  <si>
    <t xml:space="preserve">ŞİRKET </t>
  </si>
  <si>
    <t>VARLIK 2022</t>
  </si>
  <si>
    <t>DAHA İYİMSER</t>
  </si>
  <si>
    <t>DEK TAHMİNİ                  (2022  PERFORMANSININ AZ ÜSTÜ İLE)</t>
  </si>
  <si>
    <t>2022 PERFORMANSI</t>
  </si>
  <si>
    <t>BURHAN 52</t>
  </si>
  <si>
    <t>BURHAN 42</t>
  </si>
  <si>
    <t>2022 DİĞER (FİNANS+G.MENKUL)  DEK (milyar TL)</t>
  </si>
  <si>
    <t>2021 ORTALAMA REZERV</t>
  </si>
  <si>
    <t>%83,5 NEMALI ORTALAMA VARLIK (REZERV)</t>
  </si>
  <si>
    <t xml:space="preserve">VARLIK HATASI MİLYAR TL (ORTALAMA REZERV KAYNAKLI) </t>
  </si>
  <si>
    <t>VARLIK HATASI MİLYAR TL                     (ORTALAMA REZERV KAYNAKLI)</t>
  </si>
  <si>
    <t>2021 DİĞER (FİN+G.MENKUL) VARLIK DEĞERİ (ORTALAMA) MİLYAR TL</t>
  </si>
  <si>
    <t>2021 ŞİRKET VARLIK DEĞERİ (ORTALAMA) MİLYAR TL</t>
  </si>
  <si>
    <t>VARLIK DAĞILIM YÜZDESİ</t>
  </si>
  <si>
    <t>2021 ŞİRKET DEK                                   MİLYAR TL (OYAK VERİSİ)</t>
  </si>
  <si>
    <t>2021 DİĞER (FİN+G.MENKUL) DEK MİLYAR TL (OYAK VERİSİ)</t>
  </si>
  <si>
    <t>2020 ORTALAMA VARLIK ????</t>
  </si>
  <si>
    <t>YIL SONU GENEL REZERVE %83,5  UYGULANMIŞ OLABİLİR (ORTALAMA REZERVE GÖRE DEĞİL)</t>
  </si>
  <si>
    <t>2020 ORTALAMA VARLIĞIN %83,5 NEMASI</t>
  </si>
  <si>
    <t>2021 GENEL VARLIK+DEK</t>
  </si>
  <si>
    <t>2022 VERİMLİLİK (NEMA GETİRİ ORANI)</t>
  </si>
  <si>
    <t>NEMA DAĞILIM ORTALAMASI</t>
  </si>
  <si>
    <t>2022 ŞİRKET GENEL VARLIK DEĞERİ MİLYAR TL</t>
  </si>
  <si>
    <t>2022 DİĞER (FİN+G.MENKUL) GENEL VARLIK DEĞERİ, MİLYAR TL</t>
  </si>
  <si>
    <t>DEK "DİĞER (FİN+G.MENKUL)" KATKI ORANI-YÜZDE (ORANTI İLE)</t>
  </si>
  <si>
    <t xml:space="preserve">2020 ORTALAMA VARLIK </t>
  </si>
  <si>
    <t>2020 YIL SONU ORTALAMA REZERVE %83,5  UYGULANMIŞ</t>
  </si>
  <si>
    <t>2020 ORTALAMA REZERV</t>
  </si>
  <si>
    <t>2022 SONU  VARLIK    (OYAK VERİSİ)</t>
  </si>
  <si>
    <t>2021 SONU VARLIK (OYAK VERİSİ)</t>
  </si>
  <si>
    <t>2020 SONU VARLIK (OYAK VERİSİ)</t>
  </si>
  <si>
    <t>%83,5 NEMALI 2021 GENEL VARLIK (REZERV)</t>
  </si>
  <si>
    <t>2020 GENEL REZERV (OYAK VERİSİ)</t>
  </si>
  <si>
    <t>2021 GENEL REZERV (OYAK VERİSİ)</t>
  </si>
  <si>
    <t>2022 REZERV (OYAK VERİSİ)</t>
  </si>
  <si>
    <t>2021 ŞİRKET DEK                                   MİLYAR TL (OYAK VERİSİ) ????</t>
  </si>
  <si>
    <t>2021 DİĞER (FİN+G.MENKUL) DEK MİLYAR TL (OYAK VERİSİ) ???</t>
  </si>
  <si>
    <t>2021 GENEL VARLIK</t>
  </si>
  <si>
    <t>71,11+53,00=124,10</t>
  </si>
  <si>
    <t>31,37+39,33=70,70</t>
  </si>
  <si>
    <t>2022 DEK (194,80-102,47)</t>
  </si>
  <si>
    <t>GEÇEN YILIN PERFORMANSI</t>
  </si>
  <si>
    <t>DEK TAHMİNİ                                       (2022  PERFORMANSININ AYNISI)</t>
  </si>
  <si>
    <t>AZ İYİMSER</t>
  </si>
  <si>
    <t xml:space="preserve"> İYİMSER</t>
  </si>
  <si>
    <t>ÇOK İYİMSER</t>
  </si>
  <si>
    <t>TAHMİNİ 2023 ORTALAMA REZERV</t>
  </si>
  <si>
    <t>78,52+53,00=131,51</t>
  </si>
  <si>
    <t>23,96+39,33=63,29</t>
  </si>
  <si>
    <t>FİNANS+G.MENKUL</t>
  </si>
  <si>
    <t xml:space="preserve">ŞİRKETLER </t>
  </si>
  <si>
    <t>KALAN VARLIKLAR</t>
  </si>
  <si>
    <t>DEK TAHMİNİ                                                        (2022  PERFORMANSININ AYNISI)</t>
  </si>
  <si>
    <t>DEK TAHMİNİ                               (ENF. MUH,KUR, SATIŞ, SÜRPRİZ)</t>
  </si>
  <si>
    <t>DEK TAHMİNİ                               (2022  PERFORMANSININ AZ ÜSTÜ İLE)</t>
  </si>
  <si>
    <t>194,8-105,7=89,1 ??</t>
  </si>
  <si>
    <t>53+39,33=92,33</t>
  </si>
  <si>
    <t>ortalama rezerv yüzdesi</t>
  </si>
  <si>
    <t>ORTALAMA VARLIĞIN 90,1 NEMASI</t>
  </si>
  <si>
    <t>HATALI ORTALAMA VARLIK  MİLYAR TL</t>
  </si>
  <si>
    <t>HATALI ORTALAMA VARLIĞIN HATA MİKTARI</t>
  </si>
  <si>
    <t>HATA MİKTARININ ORTALAMA VARLIĞA ORANI</t>
  </si>
  <si>
    <t>DEK HATASI 93,84-92,33</t>
  </si>
  <si>
    <t>ORTALAMA VARLIK</t>
  </si>
  <si>
    <t>2021 DEK HESAP İLE</t>
  </si>
  <si>
    <t>DEK</t>
  </si>
  <si>
    <t>SALT BÜYÜKLÜĞE GÖRE SIRALAMA</t>
  </si>
  <si>
    <t>SONDAN BİRİNCİ</t>
  </si>
  <si>
    <t>BAŞARI ÖZETİ</t>
  </si>
  <si>
    <t>ÜÇÜNCÜ</t>
  </si>
  <si>
    <t>3 NCÜ</t>
  </si>
  <si>
    <t>MAAŞ PAY ORANI</t>
  </si>
  <si>
    <t>REZERVE EKLENEN PAY ORANI</t>
  </si>
  <si>
    <t>%5 GARANTİ YANSIMA NEDENİ İLE KESİN MAAŞ ALMA YÜZDESİ</t>
  </si>
  <si>
    <t>OYAK GN.MD.LÜĞÜNE YÜZDE 2,6167 ORANI İLE 2023'DE AKTARILAN TAHMİNİ MASRAF KESİNTİ TOPLAMI-OYAK GN.MD.LÜĞÜ 2023 TAHMİNİ BÜTÇESİ (TL)</t>
  </si>
  <si>
    <t>MASRAF KESİNTİSİ ORANI 2024 GENEL KURULUNDA YUKARIDAKİ YENİ ORANA DÜŞÜRÜLÜRSE BU ÜYENİN YILLIK FAZLADAN ALACAĞI NEMA MİKTARI TL</t>
  </si>
  <si>
    <t>2024 NEMA</t>
  </si>
  <si>
    <t>% MAAŞ ALMA ORANI 2024</t>
  </si>
  <si>
    <t>AYLIK MAAŞ MAYIS 2024'E KADAR</t>
  </si>
  <si>
    <t>AYLIK MAAŞ HAZİRAN 2024'TEN İTİBAREN</t>
  </si>
  <si>
    <r>
      <t xml:space="preserve">2024'DE GÜNCEL OYAK VARLIĞIM HANGİ AY  NE KADARDI?                     </t>
    </r>
    <r>
      <rPr>
        <b/>
        <sz val="20"/>
        <color rgb="FF0070C0"/>
        <rFont val="Calibri"/>
        <family val="2"/>
        <charset val="162"/>
        <scheme val="minor"/>
      </rPr>
      <t>MAAŞLARIN HER BİRİ ÖDENDİĞİNDE KALAN ÖDENMEMİŞ MAAŞLARIN REZERV İLE BERABER NEMALANMAYA DEVAM ETMESİ DURUMU. OCAK'TA NEMALANMA İŞLEMİ "NEMAYA ESAS REZERV" İLE BAŞLAR.</t>
    </r>
  </si>
  <si>
    <t xml:space="preserve">KESİNTİLER SONRASI 2024 YIL SONU NEMAYA ESAS REZERV (MAAŞLAR DAHİL):                                    "Henüz ödenmemiş 5 maaş (Ocak-Mayıs 2025) dahil olan toplam rezerv miktarı </t>
  </si>
  <si>
    <t>2023 OYAK'A  AKTARILAN</t>
  </si>
  <si>
    <t>2024 OYAK'A AKTARILAN</t>
  </si>
  <si>
    <t>2025 AKTARILACAK</t>
  </si>
  <si>
    <t>2026 AKTARILACAK</t>
  </si>
  <si>
    <t>2027 AKTARILACAK</t>
  </si>
  <si>
    <t>2028 AKTARILACAK</t>
  </si>
  <si>
    <t>2024 TAHMİN EDİLEN NEMA (ORANI)</t>
  </si>
  <si>
    <t>GEÇEN YILKİ MASRAF KESİNTİSİ TOPLAMININ OYAK GN.MD.LÜĞÜ TARAFINDAN "TAHMİN EDİLEN BÜTÇE GERÇEKLEŞME ORANI"NA GÖRE  HARCANDIĞI VARSAYIMIYLA, HARCANAN PARANIN 2024 YILLIK TÜFE  ENFLASYONU ORANINDA ARTIRILMASI DURUMUNDA, 2025 YILI İÇİN YAPILACAK MASRAF KESİNTİSİ TOPLAMI NE OLMALI VE BU DURUMDA KENDİ MASRAF KESİNTİMDEN NE KADAR TASARRUF EDERİM?</t>
  </si>
  <si>
    <t>2024 NEMASI VE YÜZDE 2,6167 ORANI İLE 2025'DE OYAK GN.MD.LÜĞÜNE AKTARILACAK MASRAF KESİNTİSİ TOPLAMI (OYAK GN.MD.LÜĞÜ 2025 TAHMİNİ BÜTÇESİ (TL)</t>
  </si>
  <si>
    <t>2024 YIL SONU TÜFE ENFLASYON ORANI</t>
  </si>
  <si>
    <t>OYAK GN.MD.LÜĞÜNÜN 2023 BÜTÇESİNİN GERÇEKLEŞME ORANI SONUCUNDA 2024'DE HARCADIĞI MASRAF KESİNTİSİ MİKTARI 2024 TÜFE ENFLASYON ORANI KADAR ARTIRILSA, OYAK GN.MD.LÜĞÜNE  2025'DE AKTARILMASI GEREKEN MASRAF KESİNTİSİ MİKTARI NE OLUR?</t>
  </si>
  <si>
    <r>
      <t xml:space="preserve">OYAK GN.MD.LÜĞÜNÜN 2024 BÜTÇESİNİN GERÇEKLEŞME ORANI SONUCUNDA 2024'DE HARCADIĞI MASRAF KESİNTİSİ MİKTARI 2024 TÜFE ENFLASYON ORANI KADAR ARTIRILSA, OYAK GN.MD.LÜĞÜNE  2025'DE AKTARILMASI GEREKEN MASRAF KESİNTİSİ MİKTARI İÇİN                                      </t>
    </r>
    <r>
      <rPr>
        <b/>
        <sz val="11"/>
        <color rgb="FFFF0000"/>
        <rFont val="Calibri"/>
        <family val="2"/>
        <charset val="162"/>
        <scheme val="minor"/>
      </rPr>
      <t>YENİ MASRAF KESİNTİ ORANI</t>
    </r>
    <r>
      <rPr>
        <b/>
        <sz val="11"/>
        <color theme="1"/>
        <rFont val="Calibri"/>
        <family val="2"/>
        <charset val="162"/>
        <scheme val="minor"/>
      </rPr>
      <t xml:space="preserve"> YÜZDE KAÇ OLMALI? (MASRAF KESİNTİSİ 2025'DE BU ORANDA YAPILSA YETERLİ OLACAKTIR)</t>
    </r>
  </si>
  <si>
    <t>SON 22 YILIN BAŞARI SIRALAMASI</t>
  </si>
  <si>
    <t>ENFLASYONA GÖRE SIRALAMA (SON 22 YIL)</t>
  </si>
  <si>
    <t>I.YUKA %54</t>
  </si>
  <si>
    <t>5 NCİ</t>
  </si>
  <si>
    <t>BEŞİNCİ</t>
  </si>
  <si>
    <t>19 NCU</t>
  </si>
  <si>
    <t>SONDAN DÖRDÜNCÜ</t>
  </si>
  <si>
    <t xml:space="preserve">GÖKTUĞ EMRE </t>
  </si>
  <si>
    <t xml:space="preserve">SONDAN </t>
  </si>
  <si>
    <t>ULAK EN YÜKSEK TAHMİN</t>
  </si>
  <si>
    <t xml:space="preserve">AYNI EMS MAAŞI </t>
  </si>
  <si>
    <t>22 NCİ</t>
  </si>
  <si>
    <t>2024 TAHMİNİ TÜİK ENFLASYONU %46,5</t>
  </si>
  <si>
    <t xml:space="preserve">GEÇEN YILIN AYNI EMS MAAŞI </t>
  </si>
  <si>
    <t>TÜİK ENFLASYONUNA EŞİT EMS MAAŞ ARTIŞI</t>
  </si>
  <si>
    <t xml:space="preserve">     NET MAAŞINIZ</t>
  </si>
  <si>
    <t>ENFLASYON %</t>
  </si>
  <si>
    <t xml:space="preserve"> EMS MAAŞ      ARTIŞ ORANI</t>
  </si>
  <si>
    <t>2024                     NEMA ORANI</t>
  </si>
  <si>
    <t>NEMA   %</t>
  </si>
  <si>
    <t>REEL GETİRİ</t>
  </si>
  <si>
    <t>2016'DAN BUGÜNE 4 YÜKSELİŞ, 4 DÜŞÜŞ GERÇEKLEŞMİŞ.</t>
  </si>
  <si>
    <t>2016'DAN BUGÜNE 3 YÜKSELİŞ, 5 DÜŞÜŞ GERÇEKLEŞMİŞ.</t>
  </si>
  <si>
    <t>REEL GETİRİ YÜZDESİ</t>
  </si>
  <si>
    <t>2022 neması net</t>
  </si>
  <si>
    <t>EMEKLİ PAYI</t>
  </si>
  <si>
    <t>2023 neması net</t>
  </si>
  <si>
    <t>EMEKLİ %50 MAAŞ TOPLAMI</t>
  </si>
  <si>
    <t>EMEKLİ AYLIK MAAŞ TOPLAMI</t>
  </si>
  <si>
    <t>5 AYLIK EMEKLİ MAAŞ TOP.</t>
  </si>
  <si>
    <t>7 AYLIK EMEKLİ MAAŞ TOP.</t>
  </si>
  <si>
    <t>ORTALAMA AYLIK EN YÜKSEK MAAŞ</t>
  </si>
  <si>
    <t>ORT. EN YÜKSEK MAAŞIN 10 KATI</t>
  </si>
  <si>
    <t>TOPLAM RİZİKO PRİMİ KESİNTİSİ</t>
  </si>
  <si>
    <t>ÇALIŞAN ÜYE SAYISI</t>
  </si>
  <si>
    <t>2021 neması brüt</t>
  </si>
  <si>
    <t>2023 YILINDA ÖDENEN ÖLÜM YARDIMI VE MALULİYET TOPLAMI</t>
  </si>
  <si>
    <t>EMEKLİDEN TOPLAM RİZİKO 2022 NEMASINDAN 2023'DE TOPLANDI</t>
  </si>
  <si>
    <t>EMEKLİDEN 2023 yılı nemasından 2024'DE TOPLANDI.</t>
  </si>
  <si>
    <t>ÇALIŞANA ÖDENEN ÖLÜM YARDIMI</t>
  </si>
  <si>
    <t>EMEKLİYE ÖDENEN ÖLÜM YARDIMI</t>
  </si>
  <si>
    <t>ARTAN RİZİKO PRİMİ KESİNTİSİ</t>
  </si>
  <si>
    <t>ÇALIŞANA ÖDENEN MAL.ULİYET YARDIMI</t>
  </si>
  <si>
    <t>?</t>
  </si>
  <si>
    <t>ÇALIŞAN ALBAY YILLIK RİZİKO PRİMİ</t>
  </si>
  <si>
    <t>ORTALAMA KİŞİ BAŞI RİZİKO PRİMİ</t>
  </si>
  <si>
    <t>ÖDENEN YARDIMLAR TOPLAMI</t>
  </si>
  <si>
    <t xml:space="preserve">2023 YILINDA ÖDENEN </t>
  </si>
  <si>
    <t>2024 ÇALIŞAN RİZİKO PRİMİ TOPLAMI (TAHMİNİ)</t>
  </si>
  <si>
    <t>2023 ORTALAMA ÖDENEN KİŞİ BAŞI ÖLÜM YARDIMI</t>
  </si>
  <si>
    <t>2023 ORTALAMA ÖDENEN KİŞİ BAŞI MALULİYET YARDIMI</t>
  </si>
  <si>
    <t>2023 ÇALIŞAN RİZİKO PRİMİ TOPLAMI (TAHMİNİ)</t>
  </si>
  <si>
    <t>2023 ÇALIŞANIN ÖDEDİĞİ</t>
  </si>
  <si>
    <t>2023 EMEKLİNİN ÖDEDİĞİ</t>
  </si>
  <si>
    <t>2023 ÇALIŞAN RİZİKO PRİMİ TAHMİNİ TOPLAMI</t>
  </si>
  <si>
    <t>2023 ÇALIŞAN VE EMEKLİDEN TOPLAM RİZİKO PRİMİ</t>
  </si>
  <si>
    <t>2023 TOPLAM ÖDENEN ÖLÜM YARDIMI</t>
  </si>
  <si>
    <t>2024 ÇALIŞAN VE EMEKLİDEN TOPLANAN RİZİKO</t>
  </si>
  <si>
    <t>2024 YILINDA ÖDENEN YARDIM MİKTARI</t>
  </si>
  <si>
    <t>2023 EMEKLİ RİZİKO PRİMİ TOPLAMI</t>
  </si>
  <si>
    <t>TOPLANANIN …..'Ü ÖDENİYOR</t>
  </si>
  <si>
    <t>TOPLANANIN ….'Ü ARTIYOR</t>
  </si>
  <si>
    <t>Aidat</t>
  </si>
  <si>
    <t>riziko %7,75</t>
  </si>
  <si>
    <t>tasarruf %89,6333</t>
  </si>
  <si>
    <t>Masraf %2,6167</t>
  </si>
  <si>
    <t>AYLIK MAAŞ MAYIS 2025'E KADAR</t>
  </si>
  <si>
    <t>AYLIK MAAŞ HAZİRAN 2025'TEN İTİBAREN</t>
  </si>
  <si>
    <t>ULAK NEMASIDIR.</t>
  </si>
  <si>
    <t>NEMA ORANI</t>
  </si>
  <si>
    <t xml:space="preserve">MAAŞ ORAN TERCİH </t>
  </si>
  <si>
    <t>50-50</t>
  </si>
  <si>
    <t>2025 YENİ MAAŞ</t>
  </si>
  <si>
    <t>BRÜT GELİR</t>
  </si>
  <si>
    <t>NET GELİR</t>
  </si>
  <si>
    <t>MAAŞ ARTIŞ ORANI</t>
  </si>
  <si>
    <t>2023 AYLIK MAAŞ</t>
  </si>
  <si>
    <t>2024 AYLIK MAAŞ</t>
  </si>
  <si>
    <t>ÖRNEK REZERV / MAAŞ HESABI (AYLIK MAAŞ)</t>
  </si>
  <si>
    <t>MAAŞIN ENFLASYON KADAR ARTMASI</t>
  </si>
  <si>
    <t>https://www.oyad.com.tr/basvuru-formu</t>
  </si>
  <si>
    <t>REZERV / MAAŞ / KESİNTİ / MAAŞ ARTIŞ ORANI VB.</t>
  </si>
  <si>
    <t>2025 PROGRAM HESAPLAMA KONTROLÜ</t>
  </si>
  <si>
    <t>ESKİ KESİN REZERV</t>
  </si>
  <si>
    <t>YENİ KESİN REZERV</t>
  </si>
  <si>
    <t>TOPLAM YENİ MAAŞ</t>
  </si>
  <si>
    <t>YENİ TOPLAM KESİNTİ</t>
  </si>
  <si>
    <t>ESKİ TOPLAM KESİNTİ</t>
  </si>
  <si>
    <t>GEÇEN YIL</t>
  </si>
  <si>
    <t>ARTIŞ</t>
  </si>
  <si>
    <t>2025 MAYIS EMS DEVİR MEKTUBU VERİLERİ OK YÖNÜNDE SOL TARAFA MANUEL  GİRİLDİĞİNDE HESAPLAR</t>
  </si>
  <si>
    <t xml:space="preserve">GELECEK 3 YILIN TAHMİNİ                               </t>
  </si>
  <si>
    <r>
      <rPr>
        <b/>
        <sz val="20"/>
        <color theme="1"/>
        <rFont val="Calibri"/>
        <family val="2"/>
        <charset val="162"/>
        <scheme val="minor"/>
      </rPr>
      <t xml:space="preserve">2021 </t>
    </r>
    <r>
      <rPr>
        <b/>
        <sz val="18"/>
        <color theme="1"/>
        <rFont val="Calibri"/>
        <family val="2"/>
        <charset val="162"/>
        <scheme val="minor"/>
      </rPr>
      <t>EMS MEKTUBU</t>
    </r>
  </si>
  <si>
    <r>
      <rPr>
        <b/>
        <sz val="20"/>
        <color theme="1"/>
        <rFont val="Calibri"/>
        <family val="2"/>
        <charset val="162"/>
        <scheme val="minor"/>
      </rPr>
      <t>2022</t>
    </r>
    <r>
      <rPr>
        <b/>
        <sz val="9"/>
        <color theme="1"/>
        <rFont val="Calibri"/>
        <family val="2"/>
        <charset val="162"/>
        <scheme val="minor"/>
      </rPr>
      <t xml:space="preserve">  </t>
    </r>
    <r>
      <rPr>
        <b/>
        <sz val="18"/>
        <color theme="1"/>
        <rFont val="Calibri"/>
        <family val="2"/>
        <charset val="162"/>
        <scheme val="minor"/>
      </rPr>
      <t>EMS MEKTUBU</t>
    </r>
  </si>
  <si>
    <r>
      <rPr>
        <b/>
        <sz val="20"/>
        <color theme="1"/>
        <rFont val="Calibri"/>
        <family val="2"/>
        <charset val="162"/>
        <scheme val="minor"/>
      </rPr>
      <t>2023</t>
    </r>
    <r>
      <rPr>
        <b/>
        <sz val="9"/>
        <color theme="1"/>
        <rFont val="Calibri"/>
        <family val="2"/>
        <charset val="162"/>
        <scheme val="minor"/>
      </rPr>
      <t xml:space="preserve">  </t>
    </r>
    <r>
      <rPr>
        <b/>
        <sz val="18"/>
        <color theme="1"/>
        <rFont val="Calibri"/>
        <family val="2"/>
        <charset val="162"/>
        <scheme val="minor"/>
      </rPr>
      <t>EMS MEKTUBU</t>
    </r>
  </si>
  <si>
    <r>
      <rPr>
        <b/>
        <sz val="20"/>
        <color theme="1"/>
        <rFont val="Calibri"/>
        <family val="2"/>
        <charset val="162"/>
        <scheme val="minor"/>
      </rPr>
      <t>2024</t>
    </r>
    <r>
      <rPr>
        <b/>
        <sz val="9"/>
        <color theme="1"/>
        <rFont val="Calibri"/>
        <family val="2"/>
        <charset val="162"/>
        <scheme val="minor"/>
      </rPr>
      <t xml:space="preserve">  </t>
    </r>
    <r>
      <rPr>
        <b/>
        <sz val="18"/>
        <color theme="1"/>
        <rFont val="Calibri"/>
        <family val="2"/>
        <charset val="162"/>
        <scheme val="minor"/>
      </rPr>
      <t>EMS MEKTUBU</t>
    </r>
  </si>
  <si>
    <r>
      <rPr>
        <b/>
        <sz val="20"/>
        <color theme="1"/>
        <rFont val="Calibri"/>
        <family val="2"/>
        <charset val="162"/>
        <scheme val="minor"/>
      </rPr>
      <t>2025</t>
    </r>
    <r>
      <rPr>
        <b/>
        <sz val="9"/>
        <color theme="1"/>
        <rFont val="Calibri"/>
        <family val="2"/>
        <charset val="162"/>
        <scheme val="minor"/>
      </rPr>
      <t xml:space="preserve">  </t>
    </r>
    <r>
      <rPr>
        <b/>
        <sz val="18"/>
        <color theme="1"/>
        <rFont val="Calibri"/>
        <family val="2"/>
        <charset val="162"/>
        <scheme val="minor"/>
      </rPr>
      <t>EMS MEKTUBU</t>
    </r>
  </si>
  <si>
    <t xml:space="preserve">                        Maaş aldıysanız 1,                           maaş almadıysanız    0 (sıfır)                      giriniz.</t>
  </si>
  <si>
    <t>TAHMİNİ ÖZET TABLO VE KESİNTİLER</t>
  </si>
  <si>
    <t>KESİN MAAŞ ARTIŞ ORANI</t>
  </si>
  <si>
    <t>AYLIK GELİR/REZERV YÖNETİM VE HESAPLAMA PROGRAMI, OYAK'IN EMS MAAŞ VE REZERV KONTROLÜ 
Programın amacı;  hem nema belli olduktan sonra OYAK'ın EMS devir mektubundaki rezerv ve maaş bilgisinin doğruluğunu test etmek ve varsa hatayı görmek, hem de gelecek yıllara ilişkin nema tahminleri yaparak ve maaş alma oranlarını da belirleyerek önümüzdeki 5 yıla dair rezerv ve aylık maaşın nereye doğru gittiğini görmek ve kendi ihtiyaçlarımıza ve hedeflerimize göre maaş alma oranları belirleyerek rezervimizi ve aylık maaşımızı kontrol altında tutmak. Kısaca hem rezerv/maaş kontrolü hem de geleceğe yönelik bir projeksiyon yapmak ve geleceğimizi bugünden yönetmek.                                                                                                                                                                                                                                                                                                         Programın hesaplama doğruluğu %99,9 civarıdır. Dosyada 4 sekme vardır. 
Birinci sekme BAŞ SAYFA isimlidir ve hesaplamaların doğru yapılması ve ayrıca 2025 yılı maaş ve rezervinin kontrol edilmesi için son 3 yıla ait veri girişlerinin yapılacağı sayfadır. Aşağıda açıkladığım şekilde veri girişi yaparsanız 2025 yılı rezerv ve maaş ve kesintileri, maaş artış oranı gibi bilgileri bu sayfada otomatik olarak hesaplanmış şekilde görebilirsiniz.
BAŞ SAYFA isimli sekmede sarı renkli kutular içerisine ok işaretlerini izleyerek veri girişi yapacaksınız. Bu veriler iki gruptur ve iki tablo halindedir. Birinci tabloda geçmiş yıllara ait "OYAK EMS Devir Mektuplarından" kesin rezerv miktarını, aylık maaşı ve maaş alma oranını alarak sarı kutular içerisine ait olduğu yıl satırına gireceksiniz. İkinci tablo ise gelecek yıllarda tahmini olarak rezervinizin ve aylık maaşınızın ne olacağını hesaplamak ve maaş alma oranına karar vermenize yardımcı olmak için kullanılacaktır. İkinci tabloya önümüzdeki yıllar için bir nema tahmini yapacak ve o oranı gireceksiniz, ayrıca o yıla ait maaş alma oranını da girecek ve son olarak maaş alıp almayacağınızı işaretleyeceksiniz. Bu verileri girince önümüzdeki her yıla ait kesin rezervi, aylık maaşı, maaş artış/azalış oranını tabloda göreceksiniz ve ikinci tabloda tahmini verilerinizi her değiştirdiğinizde rezerviniz ve maaşınız kaç TL olacak, maaşınız hangi oranda artacak ya da azalacak, bunları aynı anda görebileceksiniz. Aynı zamanda 2025 yılı Mayıs ayında Oyak'ın hesapladığı rezerv ve maaş ile benim programımın hesapladığı rezerv ve maaş bilgisi bu ilk sekmede karşılaştırılmaktadır. 2025 Mayıs ayında OYAK'ın size göndereceği EMS Devir mektubundaki yeni rezerv ve maaş bilgilerini de sarı kutulara girerseniz 2025 rezerv ve maaşınızın da doğru hesaplanıp hesaplanmadığını görebileceksiniz. Sarı renkli kutular haricinde hiçbir kutuya veri girişi yapmayınız.  Nemanın reel getirisi Türkiye'de hesaplanan 3 çeşit enflasyona göre gösterilmiştir.                                                                                                                                                                                                                                                   Mevcut ve gelecek yıllara ait daha ayrıntılı bilgilere ulaşmak için (örneğin riziko kesintisi, masraf kesintisi, ölüm yardımı ve benzeri bir çok bilgi) excel dosyasındaki  "AYRINTILI BİLGİLER" isimli sekmeye tıklayabilirsiniz. Açılacak sayfada bütün ayrıntılı bilgileri görebilirsiniz. Bu ayrıntılara ihtiyacınız yoksa BAŞ SAYFA isimli ilk sekme size yeterli olacaktır.     
MAAŞ ORANI KARAR VERME isimli son sekmeye tıklarsanız, hangi oranda maaş alma tercihi yaptığınızda gerçekte nemanın yüzde kaçı maaş olarak size verilecek ve yüzde kaçı rezervde kalacak, bunu görebilirsiniz. Siz yüzde 50 oranında maaş almayı tercih etseniz de gerçekte yüzde 5 teknik (garanti edilen nema) faiz nedeniyle aslında daha farklı bir oranda maaş almış olacaksınız. Gerçek oranın kaç olduğuna karar vererek maaş alma oran tercihinizi yapmanız yararınıza olacaktır.                                                                        
Lütfen excel dosyasını bilgisayarda veya tablette açınız ve veri girişlerini yapınız. Cep telefonu ekranı bunun için küçük kalacaktır. Bilgisayarda açarsanız bu excel dosyasını bilgisayarınızın hard diskine kaydedebilir ve istediğiniz gibi kullanabilirsiniz.  BU EXCEL dosyasındaki program aylık maaş alan emekli personel içindir. Yıl içerisinde rezerv tamamlama, pay tamamlama gibi nedenler ile OYAK'a yapılan ödemeleriniz var ise program bunu hesaplamaz. Ancak gizli olarak saklanan hesaplama tabloları açılırsa ve bu ödemeler tablolara doğru girilirse hesaplamamnız doğru olarak yapılabilir. Ancak ben excel dosyası hesaplama tabloları bozulmasın, programın bütünlüğü bozulmasın diye diğer tüm hesaplama tablolarını şifreleyerek gizledim. Bilginize. Şimdi lütfen programı açın, son 3 yıllık verilerinizi girin ve programı test edin, geleceğinizi görmeye çalışın. 
Gelecek yıllara ait ortalama nemayı ne kadar doğru tahmin ederseniz, gelecek yıllar bilgileri o kadar doğru olur. Tahminleriniz doğru çıkmasa da ki doğru tahmini kimse yapamaz, siz yine de en az veya en çok gibi kıstaslar kullanarak geleceğinizi görebilirsiniz. Programı bilgisayarınıza indirmenizi ve kayıt etmenizi öneririm. Böylece daha büyük ekranda programı kullanarak tabloları daha net olarak görebilirsiniz. Cep telefonu ekranı küçük kalabilir ve excel dosyasını açmak için uygun ofis programı telefonunuzda mevcut olmayabilir.</t>
  </si>
  <si>
    <t xml:space="preserve">GELECEK 3 YILIN TAHMİNİ (2026,27,28)                              </t>
  </si>
  <si>
    <t>ÖRNEK ÜYE</t>
  </si>
  <si>
    <t>'NİN          GELECEK        YILLARDAKİ        OYAK        AYRINTILI        HESABI</t>
  </si>
  <si>
    <t>OYAK BRÜT NEMA</t>
  </si>
  <si>
    <t>RİZİKO PAYI</t>
  </si>
  <si>
    <t>MASRAF PAYI</t>
  </si>
  <si>
    <t>NET NEMA ORANI</t>
  </si>
  <si>
    <t>2025 AYLIK MAAŞ</t>
  </si>
  <si>
    <t>2026 YENİ MAAŞ</t>
  </si>
  <si>
    <r>
      <rPr>
        <b/>
        <sz val="20"/>
        <color theme="1"/>
        <rFont val="Calibri"/>
        <family val="2"/>
        <charset val="162"/>
        <scheme val="minor"/>
      </rPr>
      <t>2026</t>
    </r>
    <r>
      <rPr>
        <b/>
        <sz val="9"/>
        <color theme="1"/>
        <rFont val="Calibri"/>
        <family val="2"/>
        <charset val="162"/>
        <scheme val="minor"/>
      </rPr>
      <t xml:space="preserve">  </t>
    </r>
    <r>
      <rPr>
        <b/>
        <sz val="18"/>
        <color theme="1"/>
        <rFont val="Calibri"/>
        <family val="2"/>
        <charset val="162"/>
        <scheme val="minor"/>
      </rPr>
      <t>EMS MEKTUBU</t>
    </r>
  </si>
  <si>
    <t>2026 MAYIS EMS DEVİR MEKTUBU VERİLERİ OK YÖNÜNDE SOL TARAFA MANUEL  GİRİLDİĞİNDE HESAPLAR</t>
  </si>
  <si>
    <t>2026 PROGRAM HESAPLAMA KONTROLÜ</t>
  </si>
  <si>
    <t>Mayıs 2026 NEMA ORANI</t>
  </si>
  <si>
    <r>
      <rPr>
        <b/>
        <sz val="48"/>
        <color theme="1"/>
        <rFont val="Calibri"/>
        <family val="2"/>
        <charset val="162"/>
        <scheme val="minor"/>
      </rPr>
      <t>TÜİK</t>
    </r>
    <r>
      <rPr>
        <b/>
        <sz val="22"/>
        <color theme="1"/>
        <rFont val="Calibri"/>
        <family val="2"/>
        <charset val="162"/>
        <scheme val="minor"/>
      </rPr>
      <t xml:space="preserve"> ENFLASYONUNA GÖRE REEL GETİRİ</t>
    </r>
  </si>
  <si>
    <t>BAŞ SAYFADA SEÇTİĞİNİZ NEMA ORANI VE MAAŞ TERCİH ORANINIZI DEĞİŞTİRDİKÇE, GERÇEKTE NEMANIN YÜZDE KAÇININ MAAŞ OLARAK ALINDIĞINI GÖSTERİR.                  %5 TEKNİK FAİZ NEDENİYLE HESAPLAMA NEMANIN 5 PUANININ GARANTİ EDİLMESİ GERÇEĞİNE GÖRE YAPILMAKTADIR.</t>
  </si>
  <si>
    <t xml:space="preserve">ENAG ENFLASYONUNA GÖRE REEL GETİRİ </t>
  </si>
  <si>
    <t xml:space="preserve">ITO ENFLASYONUNA GÖRE REEL GETİRİ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</si>
</sst>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64" formatCode="#,##0.00\ &quot;₺&quot;"/>
    <numFmt numFmtId="165" formatCode="0.0%"/>
    <numFmt numFmtId="166" formatCode="#,##0.0000"/>
    <numFmt numFmtId="167" formatCode="#,##0.0"/>
    <numFmt numFmtId="168" formatCode="0.0000"/>
    <numFmt numFmtId="169" formatCode="0.0"/>
    <numFmt numFmtId="170" formatCode="0.0000%"/>
    <numFmt numFmtId="171" formatCode="0.00000"/>
    <numFmt numFmtId="172" formatCode="0.00000%"/>
    <numFmt numFmtId="173" formatCode="#\ ?/4"/>
    <numFmt numFmtId="174" formatCode="0.000"/>
    <numFmt numFmtId="175" formatCode="0.000000"/>
  </numFmts>
  <fonts count="108" x14ac:knownFonts="1">
    <font>
      <sz val="11"/>
      <color theme="1"/>
      <name val="Calibri"/>
      <family val="2"/>
      <charset val="162"/>
      <scheme val="minor"/>
    </font>
    <font>
      <b/>
      <sz val="11"/>
      <color rgb="FFFF0000"/>
      <name val="Calibri"/>
      <family val="2"/>
      <charset val="162"/>
      <scheme val="minor"/>
    </font>
    <font>
      <b/>
      <sz val="12"/>
      <color rgb="FFFF0000"/>
      <name val="Calibri"/>
      <family val="2"/>
      <charset val="162"/>
      <scheme val="minor"/>
    </font>
    <font>
      <b/>
      <sz val="14"/>
      <color theme="1"/>
      <name val="Calibri"/>
      <family val="2"/>
      <charset val="162"/>
      <scheme val="minor"/>
    </font>
    <font>
      <b/>
      <sz val="14"/>
      <color rgb="FFFF0000"/>
      <name val="Calibri"/>
      <family val="2"/>
      <charset val="162"/>
      <scheme val="minor"/>
    </font>
    <font>
      <b/>
      <sz val="11"/>
      <color theme="1"/>
      <name val="Calibri"/>
      <family val="2"/>
      <charset val="162"/>
      <scheme val="minor"/>
    </font>
    <font>
      <b/>
      <sz val="11"/>
      <color rgb="FF002060"/>
      <name val="Calibri"/>
      <family val="2"/>
      <charset val="162"/>
      <scheme val="minor"/>
    </font>
    <font>
      <b/>
      <sz val="14"/>
      <color rgb="FF002060"/>
      <name val="Calibri"/>
      <family val="2"/>
      <charset val="162"/>
      <scheme val="minor"/>
    </font>
    <font>
      <b/>
      <sz val="22"/>
      <color theme="1"/>
      <name val="Calibri"/>
      <family val="2"/>
      <charset val="162"/>
      <scheme val="minor"/>
    </font>
    <font>
      <b/>
      <sz val="8"/>
      <color theme="1"/>
      <name val="Calibri"/>
      <family val="2"/>
      <charset val="162"/>
      <scheme val="minor"/>
    </font>
    <font>
      <b/>
      <sz val="11"/>
      <color theme="0"/>
      <name val="Calibri"/>
      <family val="2"/>
      <charset val="162"/>
      <scheme val="minor"/>
    </font>
    <font>
      <b/>
      <sz val="14"/>
      <color theme="0"/>
      <name val="Calibri"/>
      <family val="2"/>
      <charset val="162"/>
      <scheme val="minor"/>
    </font>
    <font>
      <b/>
      <sz val="10"/>
      <color theme="1"/>
      <name val="Calibri"/>
      <family val="2"/>
      <charset val="162"/>
      <scheme val="minor"/>
    </font>
    <font>
      <b/>
      <sz val="16"/>
      <color theme="1"/>
      <name val="Calibri"/>
      <family val="2"/>
      <charset val="162"/>
      <scheme val="minor"/>
    </font>
    <font>
      <b/>
      <sz val="9"/>
      <color theme="1"/>
      <name val="Calibri"/>
      <family val="2"/>
      <charset val="162"/>
      <scheme val="minor"/>
    </font>
    <font>
      <b/>
      <sz val="14"/>
      <name val="Calibri"/>
      <family val="2"/>
      <charset val="162"/>
      <scheme val="minor"/>
    </font>
    <font>
      <b/>
      <sz val="12"/>
      <color theme="1"/>
      <name val="Calibri"/>
      <family val="2"/>
      <charset val="162"/>
      <scheme val="minor"/>
    </font>
    <font>
      <b/>
      <sz val="16"/>
      <color rgb="FFFFFF00"/>
      <name val="Calibri"/>
      <family val="2"/>
      <charset val="162"/>
      <scheme val="minor"/>
    </font>
    <font>
      <b/>
      <sz val="16"/>
      <color theme="0"/>
      <name val="Calibri"/>
      <family val="2"/>
      <charset val="162"/>
      <scheme val="minor"/>
    </font>
    <font>
      <b/>
      <sz val="10"/>
      <color rgb="FFFF0000"/>
      <name val="Calibri"/>
      <family val="2"/>
      <charset val="162"/>
      <scheme val="minor"/>
    </font>
    <font>
      <b/>
      <sz val="10"/>
      <name val="Calibri"/>
      <family val="2"/>
      <charset val="162"/>
      <scheme val="minor"/>
    </font>
    <font>
      <b/>
      <sz val="12"/>
      <color rgb="FFFFFF00"/>
      <name val="Calibri"/>
      <family val="2"/>
      <charset val="162"/>
      <scheme val="minor"/>
    </font>
    <font>
      <b/>
      <sz val="18"/>
      <color rgb="FFFF0000"/>
      <name val="Calibri"/>
      <family val="2"/>
      <charset val="162"/>
      <scheme val="minor"/>
    </font>
    <font>
      <b/>
      <sz val="9"/>
      <color theme="0"/>
      <name val="Calibri"/>
      <family val="2"/>
      <charset val="162"/>
      <scheme val="minor"/>
    </font>
    <font>
      <b/>
      <sz val="12"/>
      <color theme="0"/>
      <name val="Calibri"/>
      <family val="2"/>
      <charset val="162"/>
      <scheme val="minor"/>
    </font>
    <font>
      <b/>
      <sz val="22"/>
      <color theme="0"/>
      <name val="Calibri"/>
      <family val="2"/>
      <charset val="162"/>
      <scheme val="minor"/>
    </font>
    <font>
      <b/>
      <sz val="26"/>
      <name val="Calibri"/>
      <family val="2"/>
      <charset val="162"/>
      <scheme val="minor"/>
    </font>
    <font>
      <b/>
      <sz val="11"/>
      <color theme="8" tint="0.39997558519241921"/>
      <name val="Calibri"/>
      <family val="2"/>
      <charset val="162"/>
      <scheme val="minor"/>
    </font>
    <font>
      <b/>
      <sz val="9"/>
      <color rgb="FFFF0000"/>
      <name val="Calibri"/>
      <family val="2"/>
      <charset val="162"/>
      <scheme val="minor"/>
    </font>
    <font>
      <b/>
      <sz val="28"/>
      <color rgb="FFFF0000"/>
      <name val="Calibri"/>
      <family val="2"/>
      <charset val="162"/>
      <scheme val="minor"/>
    </font>
    <font>
      <b/>
      <sz val="18"/>
      <color theme="0"/>
      <name val="Calibri"/>
      <family val="2"/>
      <charset val="162"/>
      <scheme val="minor"/>
    </font>
    <font>
      <b/>
      <sz val="20"/>
      <color rgb="FFFF0000"/>
      <name val="Calibri"/>
      <family val="2"/>
      <charset val="162"/>
      <scheme val="minor"/>
    </font>
    <font>
      <b/>
      <sz val="22"/>
      <color rgb="FFFF0000"/>
      <name val="Calibri"/>
      <family val="2"/>
      <charset val="162"/>
      <scheme val="minor"/>
    </font>
    <font>
      <b/>
      <sz val="24"/>
      <color rgb="FFFF0000"/>
      <name val="Calibri"/>
      <family val="2"/>
      <charset val="162"/>
      <scheme val="minor"/>
    </font>
    <font>
      <b/>
      <sz val="16"/>
      <color rgb="FFFF0000"/>
      <name val="Calibri"/>
      <family val="2"/>
      <charset val="162"/>
      <scheme val="minor"/>
    </font>
    <font>
      <b/>
      <sz val="26"/>
      <color rgb="FFFF0000"/>
      <name val="Calibri"/>
      <family val="2"/>
      <charset val="162"/>
      <scheme val="minor"/>
    </font>
    <font>
      <b/>
      <sz val="12"/>
      <name val="Calibri"/>
      <family val="2"/>
      <charset val="162"/>
      <scheme val="minor"/>
    </font>
    <font>
      <sz val="16"/>
      <color theme="1"/>
      <name val="Calibri"/>
      <family val="2"/>
      <charset val="162"/>
      <scheme val="minor"/>
    </font>
    <font>
      <sz val="26"/>
      <color theme="1"/>
      <name val="Calibri"/>
      <family val="2"/>
      <charset val="162"/>
      <scheme val="minor"/>
    </font>
    <font>
      <b/>
      <sz val="24"/>
      <name val="Calibri"/>
      <family val="2"/>
      <charset val="162"/>
      <scheme val="minor"/>
    </font>
    <font>
      <b/>
      <sz val="22"/>
      <name val="Calibri"/>
      <family val="2"/>
      <charset val="162"/>
      <scheme val="minor"/>
    </font>
    <font>
      <b/>
      <sz val="26"/>
      <color theme="0"/>
      <name val="Calibri"/>
      <family val="2"/>
      <charset val="162"/>
      <scheme val="minor"/>
    </font>
    <font>
      <b/>
      <sz val="36"/>
      <color theme="1"/>
      <name val="Calibri"/>
      <family val="2"/>
      <charset val="162"/>
      <scheme val="minor"/>
    </font>
    <font>
      <b/>
      <sz val="20"/>
      <color theme="0"/>
      <name val="Calibri"/>
      <family val="2"/>
      <charset val="162"/>
      <scheme val="minor"/>
    </font>
    <font>
      <b/>
      <sz val="28"/>
      <color theme="0"/>
      <name val="Calibri"/>
      <family val="2"/>
      <charset val="162"/>
      <scheme val="minor"/>
    </font>
    <font>
      <b/>
      <sz val="36"/>
      <color theme="0"/>
      <name val="Calibri"/>
      <family val="2"/>
      <charset val="162"/>
      <scheme val="minor"/>
    </font>
    <font>
      <b/>
      <sz val="48"/>
      <color theme="0"/>
      <name val="Calibri"/>
      <family val="2"/>
      <charset val="162"/>
      <scheme val="minor"/>
    </font>
    <font>
      <b/>
      <sz val="28"/>
      <name val="Calibri"/>
      <family val="2"/>
      <charset val="162"/>
      <scheme val="minor"/>
    </font>
    <font>
      <sz val="28"/>
      <color theme="0"/>
      <name val="Calibri"/>
      <family val="2"/>
      <charset val="162"/>
      <scheme val="minor"/>
    </font>
    <font>
      <b/>
      <sz val="36"/>
      <color rgb="FFFF0000"/>
      <name val="Calibri"/>
      <family val="2"/>
      <charset val="162"/>
      <scheme val="minor"/>
    </font>
    <font>
      <b/>
      <sz val="16"/>
      <color rgb="FFC00000"/>
      <name val="Calibri"/>
      <family val="2"/>
      <charset val="162"/>
      <scheme val="minor"/>
    </font>
    <font>
      <b/>
      <sz val="11"/>
      <name val="Calibri"/>
      <family val="2"/>
      <charset val="162"/>
      <scheme val="minor"/>
    </font>
    <font>
      <b/>
      <sz val="20"/>
      <color theme="1"/>
      <name val="Calibri"/>
      <family val="2"/>
      <charset val="162"/>
      <scheme val="minor"/>
    </font>
    <font>
      <b/>
      <sz val="8"/>
      <name val="Calibri"/>
      <family val="2"/>
      <charset val="162"/>
      <scheme val="minor"/>
    </font>
    <font>
      <b/>
      <sz val="18"/>
      <color theme="1"/>
      <name val="Calibri"/>
      <family val="2"/>
      <charset val="162"/>
      <scheme val="minor"/>
    </font>
    <font>
      <b/>
      <sz val="16"/>
      <name val="Calibri"/>
      <family val="2"/>
      <charset val="162"/>
      <scheme val="minor"/>
    </font>
    <font>
      <b/>
      <sz val="28"/>
      <color theme="1"/>
      <name val="Calibri"/>
      <family val="2"/>
      <charset val="162"/>
      <scheme val="minor"/>
    </font>
    <font>
      <b/>
      <sz val="18"/>
      <name val="Calibri"/>
      <family val="2"/>
      <charset val="162"/>
      <scheme val="minor"/>
    </font>
    <font>
      <b/>
      <sz val="26"/>
      <color theme="1"/>
      <name val="Calibri"/>
      <family val="2"/>
      <charset val="162"/>
      <scheme val="minor"/>
    </font>
    <font>
      <b/>
      <sz val="48"/>
      <name val="Calibri"/>
      <family val="2"/>
      <charset val="162"/>
      <scheme val="minor"/>
    </font>
    <font>
      <b/>
      <sz val="36"/>
      <color theme="1" tint="0.249977111117893"/>
      <name val="Calibri"/>
      <family val="2"/>
      <charset val="162"/>
      <scheme val="minor"/>
    </font>
    <font>
      <b/>
      <sz val="28"/>
      <color theme="1" tint="0.249977111117893"/>
      <name val="Calibri"/>
      <family val="2"/>
      <charset val="162"/>
      <scheme val="minor"/>
    </font>
    <font>
      <b/>
      <sz val="24"/>
      <color theme="1" tint="0.249977111117893"/>
      <name val="Calibri"/>
      <family val="2"/>
      <charset val="162"/>
      <scheme val="minor"/>
    </font>
    <font>
      <sz val="48"/>
      <color theme="0"/>
      <name val="Calibri"/>
      <family val="2"/>
      <charset val="162"/>
      <scheme val="minor"/>
    </font>
    <font>
      <b/>
      <sz val="24"/>
      <color theme="1"/>
      <name val="Calibri"/>
      <family val="2"/>
      <charset val="162"/>
      <scheme val="minor"/>
    </font>
    <font>
      <b/>
      <sz val="28"/>
      <color rgb="FF0070C0"/>
      <name val="Calibri"/>
      <family val="2"/>
      <charset val="162"/>
      <scheme val="minor"/>
    </font>
    <font>
      <b/>
      <sz val="36"/>
      <name val="Calibri"/>
      <family val="2"/>
      <charset val="162"/>
      <scheme val="minor"/>
    </font>
    <font>
      <b/>
      <sz val="20"/>
      <name val="Calibri"/>
      <family val="2"/>
      <charset val="162"/>
      <scheme val="minor"/>
    </font>
    <font>
      <b/>
      <sz val="26"/>
      <color theme="1" tint="0.249977111117893"/>
      <name val="Calibri"/>
      <family val="2"/>
      <charset val="162"/>
      <scheme val="minor"/>
    </font>
    <font>
      <b/>
      <sz val="48"/>
      <color theme="1"/>
      <name val="Calibri"/>
      <family val="2"/>
      <charset val="162"/>
      <scheme val="minor"/>
    </font>
    <font>
      <b/>
      <sz val="72"/>
      <color theme="1"/>
      <name val="Calibri"/>
      <family val="2"/>
      <charset val="162"/>
      <scheme val="minor"/>
    </font>
    <font>
      <b/>
      <sz val="20"/>
      <color rgb="FF002060"/>
      <name val="Calibri"/>
      <family val="2"/>
      <charset val="162"/>
      <scheme val="minor"/>
    </font>
    <font>
      <sz val="11"/>
      <color theme="0"/>
      <name val="Calibri"/>
      <family val="2"/>
      <charset val="162"/>
      <scheme val="minor"/>
    </font>
    <font>
      <sz val="10"/>
      <color theme="1"/>
      <name val="Calibri"/>
      <family val="2"/>
      <charset val="162"/>
      <scheme val="minor"/>
    </font>
    <font>
      <sz val="16"/>
      <color theme="0"/>
      <name val="Calibri"/>
      <family val="2"/>
      <charset val="162"/>
      <scheme val="minor"/>
    </font>
    <font>
      <sz val="12"/>
      <color theme="1"/>
      <name val="Calibri"/>
      <family val="2"/>
      <charset val="162"/>
      <scheme val="minor"/>
    </font>
    <font>
      <b/>
      <sz val="9"/>
      <name val="Calibri"/>
      <family val="2"/>
      <charset val="162"/>
      <scheme val="minor"/>
    </font>
    <font>
      <sz val="22"/>
      <color theme="1"/>
      <name val="Calibri"/>
      <family val="2"/>
      <charset val="162"/>
      <scheme val="minor"/>
    </font>
    <font>
      <b/>
      <sz val="24"/>
      <color theme="0"/>
      <name val="Calibri"/>
      <family val="2"/>
      <charset val="162"/>
      <scheme val="minor"/>
    </font>
    <font>
      <sz val="8"/>
      <color theme="1"/>
      <name val="Calibri"/>
      <family val="2"/>
      <charset val="162"/>
      <scheme val="minor"/>
    </font>
    <font>
      <sz val="24"/>
      <color theme="1"/>
      <name val="Calibri"/>
      <family val="2"/>
      <charset val="162"/>
      <scheme val="minor"/>
    </font>
    <font>
      <b/>
      <sz val="18"/>
      <color theme="1" tint="0.249977111117893"/>
      <name val="Calibri"/>
      <family val="2"/>
      <charset val="162"/>
      <scheme val="minor"/>
    </font>
    <font>
      <u/>
      <sz val="11"/>
      <color theme="10"/>
      <name val="Calibri"/>
      <family val="2"/>
      <charset val="162"/>
      <scheme val="minor"/>
    </font>
    <font>
      <sz val="20"/>
      <color theme="1"/>
      <name val="Calibri"/>
      <family val="2"/>
      <charset val="162"/>
      <scheme val="minor"/>
    </font>
    <font>
      <b/>
      <u/>
      <sz val="28"/>
      <color rgb="FF0070C0"/>
      <name val="Calibri"/>
      <family val="2"/>
      <charset val="162"/>
      <scheme val="minor"/>
    </font>
    <font>
      <b/>
      <u/>
      <sz val="28"/>
      <color rgb="FFFF0000"/>
      <name val="Calibri"/>
      <family val="2"/>
      <charset val="162"/>
      <scheme val="minor"/>
    </font>
    <font>
      <b/>
      <u/>
      <sz val="28"/>
      <color theme="9" tint="-0.249977111117893"/>
      <name val="Calibri"/>
      <family val="2"/>
      <charset val="162"/>
      <scheme val="minor"/>
    </font>
    <font>
      <b/>
      <sz val="20"/>
      <color theme="1" tint="0.249977111117893"/>
      <name val="Calibri"/>
      <family val="2"/>
      <charset val="162"/>
      <scheme val="minor"/>
    </font>
    <font>
      <b/>
      <sz val="22"/>
      <color theme="1" tint="0.249977111117893"/>
      <name val="Calibri"/>
      <family val="2"/>
      <charset val="162"/>
      <scheme val="minor"/>
    </font>
    <font>
      <sz val="18"/>
      <name val="Calibri"/>
      <family val="2"/>
      <charset val="162"/>
      <scheme val="minor"/>
    </font>
    <font>
      <sz val="10"/>
      <color rgb="FF000000"/>
      <name val="Segoe UI"/>
      <family val="2"/>
      <charset val="162"/>
    </font>
    <font>
      <b/>
      <sz val="10"/>
      <color rgb="FF000000"/>
      <name val="Segoe UI"/>
      <family val="2"/>
      <charset val="162"/>
    </font>
    <font>
      <b/>
      <sz val="10"/>
      <color rgb="FF0070C0"/>
      <name val="Segoe UI"/>
      <family val="2"/>
      <charset val="162"/>
    </font>
    <font>
      <sz val="20"/>
      <color theme="0"/>
      <name val="Calibri"/>
      <family val="2"/>
      <charset val="162"/>
      <scheme val="minor"/>
    </font>
    <font>
      <sz val="14"/>
      <color theme="1"/>
      <name val="Calibri"/>
      <family val="2"/>
      <charset val="162"/>
      <scheme val="minor"/>
    </font>
    <font>
      <b/>
      <sz val="10"/>
      <color theme="0"/>
      <name val="Calibri"/>
      <family val="2"/>
      <charset val="162"/>
      <scheme val="minor"/>
    </font>
    <font>
      <sz val="9"/>
      <color theme="1"/>
      <name val="Calibri"/>
      <family val="2"/>
      <charset val="162"/>
      <scheme val="minor"/>
    </font>
    <font>
      <b/>
      <sz val="8"/>
      <color theme="0"/>
      <name val="Calibri"/>
      <family val="2"/>
      <charset val="162"/>
      <scheme val="minor"/>
    </font>
    <font>
      <sz val="18"/>
      <color theme="1"/>
      <name val="Calibri"/>
      <family val="2"/>
      <charset val="162"/>
      <scheme val="minor"/>
    </font>
    <font>
      <b/>
      <sz val="20"/>
      <color rgb="FF0070C0"/>
      <name val="Calibri"/>
      <family val="2"/>
      <charset val="162"/>
      <scheme val="minor"/>
    </font>
    <font>
      <sz val="11"/>
      <name val="Calibri"/>
      <family val="2"/>
      <charset val="162"/>
      <scheme val="minor"/>
    </font>
    <font>
      <sz val="22"/>
      <name val="Calibri"/>
      <family val="2"/>
      <charset val="162"/>
      <scheme val="minor"/>
    </font>
    <font>
      <sz val="11"/>
      <color rgb="FFFF0000"/>
      <name val="Calibri"/>
      <family val="2"/>
      <charset val="162"/>
      <scheme val="minor"/>
    </font>
    <font>
      <u/>
      <sz val="28"/>
      <color theme="10"/>
      <name val="Calibri"/>
      <family val="2"/>
      <charset val="162"/>
      <scheme val="minor"/>
    </font>
    <font>
      <b/>
      <sz val="20"/>
      <color theme="2" tint="-0.89999084444715716"/>
      <name val="Calibri"/>
      <family val="2"/>
      <charset val="162"/>
      <scheme val="minor"/>
    </font>
    <font>
      <b/>
      <sz val="15"/>
      <color theme="1"/>
      <name val="Calibri"/>
      <family val="2"/>
      <charset val="162"/>
      <scheme val="minor"/>
    </font>
    <font>
      <b/>
      <sz val="24"/>
      <color rgb="FF0070C0"/>
      <name val="Calibri"/>
      <family val="2"/>
      <charset val="162"/>
      <scheme val="minor"/>
    </font>
    <font>
      <b/>
      <sz val="34"/>
      <color rgb="FF0070C0"/>
      <name val="Calibri"/>
      <family val="2"/>
      <charset val="162"/>
      <scheme val="minor"/>
    </font>
  </fonts>
  <fills count="41">
    <fill>
      <patternFill patternType="none"/>
    </fill>
    <fill>
      <patternFill patternType="gray125"/>
    </fill>
    <fill>
      <patternFill patternType="solid">
        <fgColor rgb="FFFFFF00"/>
        <bgColor indexed="64"/>
      </patternFill>
    </fill>
    <fill>
      <patternFill patternType="solid">
        <fgColor rgb="FF00B050"/>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1" tint="0.499984740745262"/>
        <bgColor indexed="64"/>
      </patternFill>
    </fill>
    <fill>
      <patternFill patternType="solid">
        <fgColor theme="6"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C000"/>
        <bgColor indexed="64"/>
      </patternFill>
    </fill>
    <fill>
      <patternFill patternType="solid">
        <fgColor theme="8" tint="0.79998168889431442"/>
        <bgColor indexed="64"/>
      </patternFill>
    </fill>
    <fill>
      <patternFill patternType="solid">
        <fgColor rgb="FF00B0F0"/>
        <bgColor indexed="64"/>
      </patternFill>
    </fill>
    <fill>
      <patternFill patternType="solid">
        <fgColor rgb="FF0070C0"/>
        <bgColor indexed="64"/>
      </patternFill>
    </fill>
    <fill>
      <patternFill patternType="solid">
        <fgColor rgb="FF92D050"/>
        <bgColor indexed="64"/>
      </patternFill>
    </fill>
    <fill>
      <patternFill patternType="solid">
        <fgColor theme="2" tint="-0.499984740745262"/>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rgb="FF002060"/>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theme="9"/>
        <bgColor indexed="64"/>
      </patternFill>
    </fill>
    <fill>
      <patternFill patternType="solid">
        <fgColor theme="9" tint="-0.249977111117893"/>
        <bgColor indexed="64"/>
      </patternFill>
    </fill>
    <fill>
      <patternFill patternType="solid">
        <fgColor theme="0"/>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1"/>
        <bgColor indexed="64"/>
      </patternFill>
    </fill>
  </fills>
  <borders count="227">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medium">
        <color auto="1"/>
      </bottom>
      <diagonal/>
    </border>
    <border>
      <left style="medium">
        <color auto="1"/>
      </left>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right/>
      <top style="medium">
        <color auto="1"/>
      </top>
      <bottom style="dashed">
        <color auto="1"/>
      </bottom>
      <diagonal/>
    </border>
    <border>
      <left/>
      <right style="medium">
        <color auto="1"/>
      </right>
      <top style="medium">
        <color auto="1"/>
      </top>
      <bottom style="dashed">
        <color auto="1"/>
      </bottom>
      <diagonal/>
    </border>
    <border>
      <left style="medium">
        <color auto="1"/>
      </left>
      <right style="medium">
        <color auto="1"/>
      </right>
      <top style="dashed">
        <color auto="1"/>
      </top>
      <bottom style="dashed">
        <color auto="1"/>
      </bottom>
      <diagonal/>
    </border>
    <border>
      <left style="medium">
        <color auto="1"/>
      </left>
      <right/>
      <top style="medium">
        <color auto="1"/>
      </top>
      <bottom style="dashed">
        <color auto="1"/>
      </bottom>
      <diagonal/>
    </border>
    <border>
      <left/>
      <right style="medium">
        <color auto="1"/>
      </right>
      <top/>
      <bottom/>
      <diagonal/>
    </border>
    <border>
      <left/>
      <right style="thick">
        <color rgb="FFFF0000"/>
      </right>
      <top style="thick">
        <color rgb="FFFF0000"/>
      </top>
      <bottom style="thick">
        <color rgb="FFFF0000"/>
      </bottom>
      <diagonal/>
    </border>
    <border>
      <left style="thick">
        <color rgb="FFFF0000"/>
      </left>
      <right/>
      <top style="thick">
        <color rgb="FFFF0000"/>
      </top>
      <bottom style="thick">
        <color rgb="FFFF0000"/>
      </bottom>
      <diagonal/>
    </border>
    <border>
      <left style="thick">
        <color rgb="FF0070C0"/>
      </left>
      <right/>
      <top style="thick">
        <color rgb="FF0070C0"/>
      </top>
      <bottom style="thick">
        <color rgb="FF0070C0"/>
      </bottom>
      <diagonal/>
    </border>
    <border>
      <left style="thin">
        <color indexed="64"/>
      </left>
      <right style="thin">
        <color indexed="64"/>
      </right>
      <top style="thin">
        <color indexed="64"/>
      </top>
      <bottom style="thin">
        <color indexed="64"/>
      </bottom>
      <diagonal/>
    </border>
    <border>
      <left style="medium">
        <color auto="1"/>
      </left>
      <right/>
      <top/>
      <bottom/>
      <diagonal/>
    </border>
    <border>
      <left/>
      <right/>
      <top style="medium">
        <color theme="0"/>
      </top>
      <bottom/>
      <diagonal/>
    </border>
    <border>
      <left style="thin">
        <color theme="0"/>
      </left>
      <right style="thin">
        <color theme="0"/>
      </right>
      <top style="thin">
        <color theme="0"/>
      </top>
      <bottom style="thin">
        <color theme="0"/>
      </bottom>
      <diagonal/>
    </border>
    <border>
      <left style="thick">
        <color rgb="FF00B0F0"/>
      </left>
      <right style="thin">
        <color theme="0"/>
      </right>
      <top style="thick">
        <color rgb="FF00B0F0"/>
      </top>
      <bottom style="thin">
        <color theme="0"/>
      </bottom>
      <diagonal/>
    </border>
    <border>
      <left style="thin">
        <color theme="0"/>
      </left>
      <right style="thin">
        <color theme="0"/>
      </right>
      <top style="thick">
        <color rgb="FF00B0F0"/>
      </top>
      <bottom style="thin">
        <color theme="0"/>
      </bottom>
      <diagonal/>
    </border>
    <border>
      <left style="thin">
        <color theme="0"/>
      </left>
      <right style="thick">
        <color rgb="FF00B0F0"/>
      </right>
      <top style="thick">
        <color rgb="FF00B0F0"/>
      </top>
      <bottom style="thin">
        <color theme="0"/>
      </bottom>
      <diagonal/>
    </border>
    <border>
      <left style="thick">
        <color rgb="FF00B0F0"/>
      </left>
      <right style="thin">
        <color theme="0"/>
      </right>
      <top style="thin">
        <color theme="0"/>
      </top>
      <bottom style="thin">
        <color theme="0"/>
      </bottom>
      <diagonal/>
    </border>
    <border>
      <left style="thin">
        <color theme="0"/>
      </left>
      <right style="thick">
        <color rgb="FF00B0F0"/>
      </right>
      <top style="thin">
        <color theme="0"/>
      </top>
      <bottom style="thin">
        <color theme="0"/>
      </bottom>
      <diagonal/>
    </border>
    <border>
      <left style="thick">
        <color rgb="FF00B0F0"/>
      </left>
      <right style="thin">
        <color theme="0"/>
      </right>
      <top style="thin">
        <color theme="0"/>
      </top>
      <bottom style="thick">
        <color rgb="FF00B0F0"/>
      </bottom>
      <diagonal/>
    </border>
    <border>
      <left style="thin">
        <color theme="0"/>
      </left>
      <right style="thin">
        <color theme="0"/>
      </right>
      <top style="thin">
        <color theme="0"/>
      </top>
      <bottom style="thick">
        <color rgb="FF00B0F0"/>
      </bottom>
      <diagonal/>
    </border>
    <border>
      <left style="thin">
        <color theme="0"/>
      </left>
      <right style="thick">
        <color rgb="FF00B0F0"/>
      </right>
      <top style="thin">
        <color theme="0"/>
      </top>
      <bottom style="thick">
        <color rgb="FF00B0F0"/>
      </bottom>
      <diagonal/>
    </border>
    <border>
      <left/>
      <right/>
      <top style="medium">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auto="1"/>
      </right>
      <top style="medium">
        <color auto="1"/>
      </top>
      <bottom/>
      <diagonal/>
    </border>
    <border>
      <left style="thick">
        <color rgb="FFFF0000"/>
      </left>
      <right/>
      <top/>
      <bottom style="thick">
        <color rgb="FFFF0000"/>
      </bottom>
      <diagonal/>
    </border>
    <border>
      <left style="thick">
        <color rgb="FF0070C0"/>
      </left>
      <right/>
      <top/>
      <bottom style="thick">
        <color rgb="FF0070C0"/>
      </bottom>
      <diagonal/>
    </border>
    <border>
      <left/>
      <right style="thick">
        <color rgb="FF0070C0"/>
      </right>
      <top/>
      <bottom style="thick">
        <color rgb="FF0070C0"/>
      </bottom>
      <diagonal/>
    </border>
    <border>
      <left/>
      <right/>
      <top style="thick">
        <color rgb="FFFF0000"/>
      </top>
      <bottom style="thick">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ck">
        <color indexed="64"/>
      </top>
      <bottom/>
      <diagonal/>
    </border>
    <border>
      <left/>
      <right style="thick">
        <color indexed="64"/>
      </right>
      <top/>
      <bottom style="thick">
        <color indexed="64"/>
      </bottom>
      <diagonal/>
    </border>
    <border>
      <left/>
      <right/>
      <top style="thick">
        <color indexed="64"/>
      </top>
      <bottom style="thick">
        <color indexed="64"/>
      </bottom>
      <diagonal/>
    </border>
    <border>
      <left style="thick">
        <color indexed="64"/>
      </left>
      <right/>
      <top/>
      <bottom style="thick">
        <color indexed="64"/>
      </bottom>
      <diagonal/>
    </border>
    <border>
      <left/>
      <right/>
      <top/>
      <bottom style="thick">
        <color indexed="64"/>
      </bottom>
      <diagonal/>
    </border>
    <border>
      <left/>
      <right/>
      <top/>
      <bottom style="thick">
        <color rgb="FFFF0000"/>
      </bottom>
      <diagonal/>
    </border>
    <border>
      <left/>
      <right style="thick">
        <color rgb="FFFF0000"/>
      </right>
      <top/>
      <bottom style="thick">
        <color rgb="FFFF0000"/>
      </bottom>
      <diagonal/>
    </border>
    <border>
      <left style="thick">
        <color indexed="64"/>
      </left>
      <right/>
      <top style="thick">
        <color indexed="64"/>
      </top>
      <bottom/>
      <diagonal/>
    </border>
    <border>
      <left/>
      <right style="thick">
        <color indexed="64"/>
      </right>
      <top style="thick">
        <color indexed="64"/>
      </top>
      <bottom style="thick">
        <color indexed="64"/>
      </bottom>
      <diagonal/>
    </border>
    <border>
      <left style="thin">
        <color indexed="64"/>
      </left>
      <right/>
      <top style="thin">
        <color indexed="64"/>
      </top>
      <bottom style="thin">
        <color indexed="64"/>
      </bottom>
      <diagonal/>
    </border>
    <border>
      <left/>
      <right/>
      <top/>
      <bottom style="thin">
        <color indexed="64"/>
      </bottom>
      <diagonal/>
    </border>
    <border>
      <left style="thick">
        <color indexed="64"/>
      </left>
      <right/>
      <top style="thick">
        <color indexed="64"/>
      </top>
      <bottom style="medium">
        <color theme="0"/>
      </bottom>
      <diagonal/>
    </border>
    <border>
      <left/>
      <right style="thick">
        <color indexed="64"/>
      </right>
      <top style="thick">
        <color indexed="64"/>
      </top>
      <bottom style="medium">
        <color theme="0"/>
      </bottom>
      <diagonal/>
    </border>
    <border>
      <left style="thick">
        <color indexed="64"/>
      </left>
      <right style="thin">
        <color theme="0"/>
      </right>
      <top style="thin">
        <color theme="0"/>
      </top>
      <bottom/>
      <diagonal/>
    </border>
    <border>
      <left style="thin">
        <color theme="0"/>
      </left>
      <right style="thick">
        <color indexed="64"/>
      </right>
      <top style="thin">
        <color theme="0"/>
      </top>
      <bottom/>
      <diagonal/>
    </border>
    <border>
      <left style="thick">
        <color indexed="64"/>
      </left>
      <right style="thick">
        <color rgb="FFFF0000"/>
      </right>
      <top style="thick">
        <color rgb="FFFF0000"/>
      </top>
      <bottom style="thick">
        <color indexed="64"/>
      </bottom>
      <diagonal/>
    </border>
    <border>
      <left style="thick">
        <color rgb="FFFF0000"/>
      </left>
      <right style="thick">
        <color indexed="64"/>
      </right>
      <top style="thick">
        <color rgb="FFFF0000"/>
      </top>
      <bottom style="thick">
        <color indexed="64"/>
      </bottom>
      <diagonal/>
    </border>
    <border>
      <left style="thick">
        <color rgb="FFFF0000"/>
      </left>
      <right/>
      <top style="thick">
        <color rgb="FFFF0000"/>
      </top>
      <bottom/>
      <diagonal/>
    </border>
    <border>
      <left/>
      <right style="thick">
        <color rgb="FFFF0000"/>
      </right>
      <top style="thick">
        <color rgb="FFFF0000"/>
      </top>
      <bottom/>
      <diagonal/>
    </border>
    <border>
      <left/>
      <right/>
      <top style="thick">
        <color rgb="FFFF0000"/>
      </top>
      <bottom/>
      <diagonal/>
    </border>
    <border>
      <left/>
      <right/>
      <top style="thick">
        <color indexed="64"/>
      </top>
      <bottom style="medium">
        <color theme="0"/>
      </bottom>
      <diagonal/>
    </border>
    <border>
      <left/>
      <right style="thin">
        <color theme="0"/>
      </right>
      <top style="thick">
        <color indexed="64"/>
      </top>
      <bottom style="medium">
        <color theme="0"/>
      </bottom>
      <diagonal/>
    </border>
    <border>
      <left style="thin">
        <color theme="0"/>
      </left>
      <right style="thick">
        <color indexed="64"/>
      </right>
      <top style="thick">
        <color indexed="64"/>
      </top>
      <bottom style="thin">
        <color theme="0"/>
      </bottom>
      <diagonal/>
    </border>
    <border>
      <left style="medium">
        <color auto="1"/>
      </left>
      <right style="medium">
        <color auto="1"/>
      </right>
      <top/>
      <bottom style="medium">
        <color auto="1"/>
      </bottom>
      <diagonal/>
    </border>
    <border>
      <left/>
      <right/>
      <top/>
      <bottom style="dashed">
        <color auto="1"/>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rgb="FFFF0000"/>
      </left>
      <right style="thick">
        <color rgb="FFFF0000"/>
      </right>
      <top style="thick">
        <color rgb="FFFF0000"/>
      </top>
      <bottom style="thick">
        <color rgb="FFFF0000"/>
      </bottom>
      <diagonal/>
    </border>
    <border>
      <left style="thick">
        <color indexed="64"/>
      </left>
      <right/>
      <top style="thick">
        <color indexed="64"/>
      </top>
      <bottom style="thick">
        <color indexed="64"/>
      </bottom>
      <diagonal/>
    </border>
    <border>
      <left/>
      <right style="thick">
        <color indexed="64"/>
      </right>
      <top style="thick">
        <color indexed="64"/>
      </top>
      <bottom/>
      <diagonal/>
    </border>
    <border>
      <left style="thick">
        <color indexed="64"/>
      </left>
      <right/>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right style="thick">
        <color indexed="64"/>
      </right>
      <top/>
      <bottom/>
      <diagonal/>
    </border>
    <border>
      <left style="thick">
        <color indexed="64"/>
      </left>
      <right style="thick">
        <color indexed="64"/>
      </right>
      <top/>
      <bottom style="thick">
        <color indexed="64"/>
      </bottom>
      <diagonal/>
    </border>
    <border>
      <left style="thick">
        <color indexed="64"/>
      </left>
      <right style="thick">
        <color indexed="64"/>
      </right>
      <top style="medium">
        <color auto="1"/>
      </top>
      <bottom/>
      <diagonal/>
    </border>
    <border>
      <left/>
      <right/>
      <top style="thick">
        <color indexed="64"/>
      </top>
      <bottom style="medium">
        <color auto="1"/>
      </bottom>
      <diagonal/>
    </border>
    <border>
      <left style="thick">
        <color indexed="64"/>
      </left>
      <right/>
      <top style="medium">
        <color auto="1"/>
      </top>
      <bottom/>
      <diagonal/>
    </border>
    <border>
      <left/>
      <right style="thick">
        <color indexed="64"/>
      </right>
      <top style="medium">
        <color auto="1"/>
      </top>
      <bottom style="medium">
        <color auto="1"/>
      </bottom>
      <diagonal/>
    </border>
    <border>
      <left style="thick">
        <color indexed="64"/>
      </left>
      <right/>
      <top style="medium">
        <color auto="1"/>
      </top>
      <bottom style="thick">
        <color indexed="64"/>
      </bottom>
      <diagonal/>
    </border>
    <border>
      <left/>
      <right style="thick">
        <color indexed="64"/>
      </right>
      <top style="medium">
        <color auto="1"/>
      </top>
      <bottom style="thick">
        <color indexed="64"/>
      </bottom>
      <diagonal/>
    </border>
    <border>
      <left style="thick">
        <color indexed="64"/>
      </left>
      <right style="thick">
        <color rgb="FFFF0000"/>
      </right>
      <top/>
      <bottom style="thick">
        <color indexed="64"/>
      </bottom>
      <diagonal/>
    </border>
    <border>
      <left style="thick">
        <color rgb="FFFF0000"/>
      </left>
      <right style="thick">
        <color indexed="64"/>
      </right>
      <top/>
      <bottom style="thick">
        <color indexed="64"/>
      </bottom>
      <diagonal/>
    </border>
    <border>
      <left style="thick">
        <color indexed="64"/>
      </left>
      <right style="thick">
        <color rgb="FFFF0000"/>
      </right>
      <top style="thick">
        <color indexed="64"/>
      </top>
      <bottom style="thick">
        <color indexed="64"/>
      </bottom>
      <diagonal/>
    </border>
    <border>
      <left style="thick">
        <color rgb="FFFF0000"/>
      </left>
      <right style="thick">
        <color indexed="64"/>
      </right>
      <top style="thick">
        <color indexed="64"/>
      </top>
      <bottom style="thick">
        <color indexed="64"/>
      </bottom>
      <diagonal/>
    </border>
    <border>
      <left/>
      <right style="thin">
        <color indexed="64"/>
      </right>
      <top style="thin">
        <color indexed="64"/>
      </top>
      <bottom style="thin">
        <color indexed="64"/>
      </bottom>
      <diagonal/>
    </border>
    <border>
      <left/>
      <right style="medium">
        <color auto="1"/>
      </right>
      <top style="dashed">
        <color auto="1"/>
      </top>
      <bottom style="dashed">
        <color auto="1"/>
      </bottom>
      <diagonal/>
    </border>
    <border>
      <left style="thick">
        <color rgb="FFFF0000"/>
      </left>
      <right/>
      <top/>
      <bottom style="thick">
        <color indexed="64"/>
      </bottom>
      <diagonal/>
    </border>
    <border>
      <left style="thick">
        <color rgb="FFFF0000"/>
      </left>
      <right/>
      <top style="thick">
        <color indexed="64"/>
      </top>
      <bottom style="thick">
        <color indexed="64"/>
      </bottom>
      <diagonal/>
    </border>
    <border>
      <left style="thick">
        <color rgb="FFFF0000"/>
      </left>
      <right/>
      <top/>
      <bottom/>
      <diagonal/>
    </border>
    <border>
      <left/>
      <right style="thick">
        <color rgb="FFFF0000"/>
      </right>
      <top/>
      <bottom/>
      <diagonal/>
    </border>
    <border>
      <left/>
      <right style="thin">
        <color theme="0"/>
      </right>
      <top style="thick">
        <color indexed="64"/>
      </top>
      <bottom style="thick">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ck">
        <color indexed="64"/>
      </bottom>
      <diagonal/>
    </border>
    <border>
      <left style="thick">
        <color indexed="64"/>
      </left>
      <right/>
      <top style="thick">
        <color indexed="64"/>
      </top>
      <bottom style="medium">
        <color indexed="64"/>
      </bottom>
      <diagonal/>
    </border>
    <border>
      <left style="thin">
        <color theme="0"/>
      </left>
      <right style="thin">
        <color theme="0"/>
      </right>
      <top style="thin">
        <color theme="0"/>
      </top>
      <bottom/>
      <diagonal/>
    </border>
    <border>
      <left style="medium">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ck">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ck">
        <color indexed="64"/>
      </bottom>
      <diagonal/>
    </border>
    <border>
      <left/>
      <right style="medium">
        <color indexed="64"/>
      </right>
      <top/>
      <bottom style="thick">
        <color indexed="64"/>
      </bottom>
      <diagonal/>
    </border>
    <border>
      <left style="medium">
        <color indexed="64"/>
      </left>
      <right style="thick">
        <color indexed="64"/>
      </right>
      <top/>
      <bottom style="medium">
        <color indexed="64"/>
      </bottom>
      <diagonal/>
    </border>
    <border>
      <left/>
      <right style="medium">
        <color indexed="64"/>
      </right>
      <top style="thick">
        <color indexed="64"/>
      </top>
      <bottom style="medium">
        <color indexed="64"/>
      </bottom>
      <diagonal/>
    </border>
    <border>
      <left style="medium">
        <color indexed="64"/>
      </left>
      <right/>
      <top style="medium">
        <color indexed="64"/>
      </top>
      <bottom style="thick">
        <color indexed="64"/>
      </bottom>
      <diagonal/>
    </border>
    <border>
      <left style="thick">
        <color indexed="64"/>
      </left>
      <right style="thick">
        <color indexed="64"/>
      </right>
      <top style="medium">
        <color indexed="64"/>
      </top>
      <bottom style="thick">
        <color indexed="64"/>
      </bottom>
      <diagonal/>
    </border>
    <border>
      <left style="medium">
        <color indexed="64"/>
      </left>
      <right style="thick">
        <color indexed="64"/>
      </right>
      <top/>
      <bottom/>
      <diagonal/>
    </border>
    <border>
      <left/>
      <right style="medium">
        <color indexed="64"/>
      </right>
      <top style="thick">
        <color indexed="64"/>
      </top>
      <bottom style="thick">
        <color indexed="64"/>
      </bottom>
      <diagonal/>
    </border>
    <border>
      <left style="medium">
        <color auto="1"/>
      </left>
      <right/>
      <top style="thick">
        <color indexed="64"/>
      </top>
      <bottom style="medium">
        <color indexed="64"/>
      </bottom>
      <diagonal/>
    </border>
    <border>
      <left/>
      <right style="thick">
        <color rgb="FFFF0000"/>
      </right>
      <top style="thick">
        <color indexed="64"/>
      </top>
      <bottom style="thick">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ck">
        <color rgb="FFFF0000"/>
      </right>
      <top/>
      <bottom style="thick">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medium">
        <color indexed="64"/>
      </left>
      <right style="thick">
        <color rgb="FFFF0000"/>
      </right>
      <top style="medium">
        <color indexed="64"/>
      </top>
      <bottom style="medium">
        <color indexed="64"/>
      </bottom>
      <diagonal/>
    </border>
    <border>
      <left style="thick">
        <color rgb="FFFF0000"/>
      </left>
      <right style="medium">
        <color indexed="64"/>
      </right>
      <top style="medium">
        <color indexed="64"/>
      </top>
      <bottom style="medium">
        <color indexed="64"/>
      </bottom>
      <diagonal/>
    </border>
    <border>
      <left style="thick">
        <color indexed="64"/>
      </left>
      <right style="thick">
        <color indexed="64"/>
      </right>
      <top/>
      <bottom style="medium">
        <color auto="1"/>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top style="thick">
        <color indexed="64"/>
      </top>
      <bottom style="thick">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auto="1"/>
      </bottom>
      <diagonal/>
    </border>
    <border>
      <left style="medium">
        <color rgb="FFFF0000"/>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diagonal/>
    </border>
    <border>
      <left style="medium">
        <color rgb="FFFF0000"/>
      </left>
      <right style="thin">
        <color indexed="64"/>
      </right>
      <top style="thin">
        <color indexed="64"/>
      </top>
      <bottom style="medium">
        <color rgb="FFFF0000"/>
      </bottom>
      <diagonal/>
    </border>
    <border>
      <left style="thin">
        <color indexed="64"/>
      </left>
      <right style="medium">
        <color rgb="FFFF0000"/>
      </right>
      <top/>
      <bottom style="medium">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rgb="FFFF0000"/>
      </left>
      <right style="thin">
        <color rgb="FFFF0000"/>
      </right>
      <top style="thin">
        <color rgb="FFFF0000"/>
      </top>
      <bottom style="thin">
        <color rgb="FFFF0000"/>
      </bottom>
      <diagonal/>
    </border>
    <border>
      <left style="medium">
        <color rgb="FFFF0000"/>
      </left>
      <right style="medium">
        <color rgb="FFFF0000"/>
      </right>
      <top style="medium">
        <color rgb="FFFF0000"/>
      </top>
      <bottom style="thin">
        <color rgb="FFFF0000"/>
      </bottom>
      <diagonal/>
    </border>
    <border>
      <left style="medium">
        <color rgb="FFFF0000"/>
      </left>
      <right style="medium">
        <color rgb="FFFF0000"/>
      </right>
      <top style="thin">
        <color rgb="FFFF0000"/>
      </top>
      <bottom style="medium">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style="medium">
        <color rgb="FFFF0000"/>
      </left>
      <right/>
      <top style="medium">
        <color rgb="FFFF0000"/>
      </top>
      <bottom/>
      <diagonal/>
    </border>
    <border>
      <left/>
      <right style="medium">
        <color rgb="FFFF0000"/>
      </right>
      <top style="medium">
        <color rgb="FFFF0000"/>
      </top>
      <bottom/>
      <diagonal/>
    </border>
    <border>
      <left/>
      <right/>
      <top style="medium">
        <color rgb="FFFF0000"/>
      </top>
      <bottom/>
      <diagonal/>
    </border>
    <border>
      <left/>
      <right/>
      <top/>
      <bottom style="medium">
        <color rgb="FFFF0000"/>
      </bottom>
      <diagonal/>
    </border>
    <border>
      <left style="thin">
        <color rgb="FFFF0000"/>
      </left>
      <right style="thin">
        <color rgb="FFFF0000"/>
      </right>
      <top/>
      <bottom style="thin">
        <color rgb="FFFF0000"/>
      </bottom>
      <diagonal/>
    </border>
    <border>
      <left style="medium">
        <color rgb="FFFF0000"/>
      </left>
      <right/>
      <top/>
      <bottom style="medium">
        <color rgb="FFFF0000"/>
      </bottom>
      <diagonal/>
    </border>
    <border>
      <left style="thin">
        <color rgb="FFFF0000"/>
      </left>
      <right style="thin">
        <color rgb="FFFF0000"/>
      </right>
      <top style="thin">
        <color rgb="FFFF0000"/>
      </top>
      <bottom/>
      <diagonal/>
    </border>
    <border>
      <left/>
      <right style="thin">
        <color rgb="FFFF0000"/>
      </right>
      <top style="medium">
        <color rgb="FFFF0000"/>
      </top>
      <bottom/>
      <diagonal/>
    </border>
    <border>
      <left/>
      <right style="medium">
        <color rgb="FFFF0000"/>
      </right>
      <top/>
      <bottom style="thin">
        <color rgb="FFFF0000"/>
      </bottom>
      <diagonal/>
    </border>
    <border>
      <left/>
      <right style="medium">
        <color rgb="FFFF0000"/>
      </right>
      <top/>
      <bottom style="medium">
        <color rgb="FFFF0000"/>
      </bottom>
      <diagonal/>
    </border>
    <border>
      <left style="thin">
        <color rgb="FFFF0000"/>
      </left>
      <right style="medium">
        <color rgb="FFFF0000"/>
      </right>
      <top style="medium">
        <color rgb="FFFF0000"/>
      </top>
      <bottom/>
      <diagonal/>
    </border>
    <border>
      <left style="thin">
        <color rgb="FFFF0000"/>
      </left>
      <right style="medium">
        <color rgb="FFFF0000"/>
      </right>
      <top/>
      <bottom style="medium">
        <color rgb="FFFF0000"/>
      </bottom>
      <diagonal/>
    </border>
    <border>
      <left/>
      <right/>
      <top style="thin">
        <color theme="1"/>
      </top>
      <bottom/>
      <diagonal/>
    </border>
    <border>
      <left style="thin">
        <color indexed="64"/>
      </left>
      <right/>
      <top style="thick">
        <color indexed="64"/>
      </top>
      <bottom style="thick">
        <color indexed="64"/>
      </bottom>
      <diagonal/>
    </border>
    <border>
      <left/>
      <right style="thick">
        <color rgb="FFFF0000"/>
      </right>
      <top style="thick">
        <color indexed="64"/>
      </top>
      <bottom/>
      <diagonal/>
    </border>
    <border>
      <left style="thick">
        <color rgb="FFFF0000"/>
      </left>
      <right style="thick">
        <color indexed="64"/>
      </right>
      <top style="thick">
        <color indexed="64"/>
      </top>
      <bottom/>
      <diagonal/>
    </border>
    <border>
      <left style="thick">
        <color indexed="64"/>
      </left>
      <right style="thick">
        <color rgb="FFFF0000"/>
      </right>
      <top/>
      <bottom/>
      <diagonal/>
    </border>
    <border>
      <left style="medium">
        <color indexed="64"/>
      </left>
      <right style="thin">
        <color indexed="64"/>
      </right>
      <top style="thin">
        <color indexed="64"/>
      </top>
      <bottom/>
      <diagonal/>
    </border>
    <border>
      <left style="thick">
        <color rgb="FFFF0000"/>
      </left>
      <right style="medium">
        <color auto="1"/>
      </right>
      <top style="thick">
        <color rgb="FFFF0000"/>
      </top>
      <bottom style="medium">
        <color auto="1"/>
      </bottom>
      <diagonal/>
    </border>
    <border>
      <left/>
      <right style="thick">
        <color rgb="FFFF0000"/>
      </right>
      <top style="thick">
        <color rgb="FFFF0000"/>
      </top>
      <bottom style="thick">
        <color indexed="64"/>
      </bottom>
      <diagonal/>
    </border>
    <border>
      <left style="thick">
        <color rgb="FFFF0000"/>
      </left>
      <right/>
      <top style="thick">
        <color rgb="FFFF0000"/>
      </top>
      <bottom style="thick">
        <color indexed="64"/>
      </bottom>
      <diagonal/>
    </border>
    <border>
      <left style="medium">
        <color indexed="64"/>
      </left>
      <right style="thin">
        <color indexed="64"/>
      </right>
      <top style="thick">
        <color rgb="FFFF0000"/>
      </top>
      <bottom style="medium">
        <color indexed="64"/>
      </bottom>
      <diagonal/>
    </border>
    <border>
      <left style="thin">
        <color indexed="64"/>
      </left>
      <right/>
      <top style="thick">
        <color rgb="FFFF0000"/>
      </top>
      <bottom style="medium">
        <color indexed="64"/>
      </bottom>
      <diagonal/>
    </border>
    <border>
      <left style="medium">
        <color indexed="64"/>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medium">
        <color auto="1"/>
      </right>
      <top style="medium">
        <color auto="1"/>
      </top>
      <bottom style="thick">
        <color rgb="FFFF0000"/>
      </bottom>
      <diagonal/>
    </border>
    <border>
      <left/>
      <right style="thick">
        <color rgb="FFFF0000"/>
      </right>
      <top style="thick">
        <color indexed="64"/>
      </top>
      <bottom style="thick">
        <color rgb="FFFF0000"/>
      </bottom>
      <diagonal/>
    </border>
    <border>
      <left style="thick">
        <color rgb="FFFF0000"/>
      </left>
      <right style="thick">
        <color indexed="64"/>
      </right>
      <top style="thick">
        <color indexed="64"/>
      </top>
      <bottom style="thick">
        <color rgb="FFFF0000"/>
      </bottom>
      <diagonal/>
    </border>
    <border>
      <left style="thick">
        <color indexed="64"/>
      </left>
      <right style="thick">
        <color rgb="FFFF0000"/>
      </right>
      <top style="thick">
        <color indexed="64"/>
      </top>
      <bottom style="thick">
        <color rgb="FFFF0000"/>
      </bottom>
      <diagonal/>
    </border>
    <border>
      <left style="thick">
        <color rgb="FFFF0000"/>
      </left>
      <right/>
      <top style="thick">
        <color indexed="64"/>
      </top>
      <bottom style="thick">
        <color rgb="FFFF0000"/>
      </bottom>
      <diagonal/>
    </border>
    <border>
      <left style="medium">
        <color indexed="64"/>
      </left>
      <right style="thin">
        <color indexed="64"/>
      </right>
      <top style="medium">
        <color indexed="64"/>
      </top>
      <bottom style="thick">
        <color rgb="FFFF0000"/>
      </bottom>
      <diagonal/>
    </border>
    <border>
      <left style="thin">
        <color indexed="64"/>
      </left>
      <right/>
      <top style="medium">
        <color indexed="64"/>
      </top>
      <bottom style="thick">
        <color rgb="FFFF0000"/>
      </bottom>
      <diagonal/>
    </border>
    <border>
      <left style="medium">
        <color indexed="64"/>
      </left>
      <right style="thin">
        <color indexed="64"/>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thick">
        <color theme="3" tint="0.39997558519241921"/>
      </left>
      <right style="thick">
        <color theme="3" tint="0.39997558519241921"/>
      </right>
      <top style="thick">
        <color theme="3" tint="0.39997558519241921"/>
      </top>
      <bottom style="thick">
        <color theme="3" tint="0.39997558519241921"/>
      </bottom>
      <diagonal/>
    </border>
    <border>
      <left style="thick">
        <color rgb="FFFF0000"/>
      </left>
      <right style="thick">
        <color rgb="FFFF0000"/>
      </right>
      <top style="thick">
        <color rgb="FFFF0000"/>
      </top>
      <bottom/>
      <diagonal/>
    </border>
    <border>
      <left/>
      <right/>
      <top style="thick">
        <color theme="3" tint="0.39997558519241921"/>
      </top>
      <bottom/>
      <diagonal/>
    </border>
    <border>
      <left/>
      <right style="thick">
        <color theme="3" tint="0.39997558519241921"/>
      </right>
      <top style="thick">
        <color theme="3" tint="0.39997558519241921"/>
      </top>
      <bottom/>
      <diagonal/>
    </border>
    <border>
      <left/>
      <right style="thick">
        <color theme="3" tint="0.39997558519241921"/>
      </right>
      <top/>
      <bottom/>
      <diagonal/>
    </border>
  </borders>
  <cellStyleXfs count="2">
    <xf numFmtId="0" fontId="0" fillId="0" borderId="0"/>
    <xf numFmtId="0" fontId="82" fillId="0" borderId="0" applyNumberFormat="0" applyFill="0" applyBorder="0" applyAlignment="0" applyProtection="0"/>
  </cellStyleXfs>
  <cellXfs count="1716">
    <xf numFmtId="0" fontId="0" fillId="0" borderId="0" xfId="0"/>
    <xf numFmtId="0" fontId="5" fillId="0" borderId="0" xfId="0" applyFont="1"/>
    <xf numFmtId="164" fontId="5" fillId="0" borderId="0" xfId="0" applyNumberFormat="1" applyFont="1" applyAlignment="1">
      <alignment horizontal="left"/>
    </xf>
    <xf numFmtId="2" fontId="5" fillId="0" borderId="0" xfId="0" applyNumberFormat="1" applyFont="1"/>
    <xf numFmtId="0" fontId="5" fillId="4" borderId="1" xfId="0" applyFont="1" applyFill="1" applyBorder="1"/>
    <xf numFmtId="164" fontId="5" fillId="4" borderId="1" xfId="0" applyNumberFormat="1" applyFont="1" applyFill="1" applyBorder="1" applyAlignment="1">
      <alignment horizontal="left"/>
    </xf>
    <xf numFmtId="0" fontId="2" fillId="5" borderId="1" xfId="0" applyFont="1" applyFill="1" applyBorder="1" applyAlignment="1">
      <alignment horizontal="center"/>
    </xf>
    <xf numFmtId="0" fontId="5" fillId="5" borderId="1" xfId="0" applyFont="1" applyFill="1" applyBorder="1"/>
    <xf numFmtId="0" fontId="5" fillId="6" borderId="1" xfId="0" applyFont="1" applyFill="1" applyBorder="1"/>
    <xf numFmtId="0" fontId="5" fillId="8" borderId="1" xfId="0" applyFont="1" applyFill="1" applyBorder="1"/>
    <xf numFmtId="4" fontId="6" fillId="8" borderId="1" xfId="0" applyNumberFormat="1" applyFont="1" applyFill="1" applyBorder="1" applyAlignment="1">
      <alignment horizontal="left"/>
    </xf>
    <xf numFmtId="1" fontId="5" fillId="0" borderId="0" xfId="0" applyNumberFormat="1" applyFont="1"/>
    <xf numFmtId="4" fontId="5" fillId="0" borderId="0" xfId="0" applyNumberFormat="1" applyFont="1"/>
    <xf numFmtId="0" fontId="10" fillId="0" borderId="0" xfId="0" applyFont="1"/>
    <xf numFmtId="0" fontId="5" fillId="10" borderId="1" xfId="0" applyFont="1" applyFill="1" applyBorder="1" applyAlignment="1">
      <alignment vertical="center" wrapText="1"/>
    </xf>
    <xf numFmtId="3" fontId="10" fillId="13" borderId="1" xfId="0" applyNumberFormat="1" applyFont="1" applyFill="1" applyBorder="1" applyAlignment="1">
      <alignment horizontal="left"/>
    </xf>
    <xf numFmtId="0" fontId="17" fillId="0" borderId="0" xfId="0" applyFont="1"/>
    <xf numFmtId="3" fontId="5" fillId="4" borderId="1" xfId="0" applyNumberFormat="1" applyFont="1" applyFill="1" applyBorder="1" applyAlignment="1">
      <alignment horizontal="left"/>
    </xf>
    <xf numFmtId="3" fontId="5" fillId="5" borderId="1" xfId="0" applyNumberFormat="1" applyFont="1" applyFill="1" applyBorder="1" applyAlignment="1">
      <alignment horizontal="left"/>
    </xf>
    <xf numFmtId="0" fontId="16" fillId="5" borderId="1" xfId="0" applyFont="1" applyFill="1" applyBorder="1" applyAlignment="1">
      <alignment horizontal="center"/>
    </xf>
    <xf numFmtId="1" fontId="15" fillId="6" borderId="16" xfId="0" applyNumberFormat="1" applyFont="1" applyFill="1" applyBorder="1" applyAlignment="1">
      <alignment horizontal="center" vertical="center" wrapText="1"/>
    </xf>
    <xf numFmtId="0" fontId="21" fillId="13" borderId="2" xfId="0" applyFont="1" applyFill="1" applyBorder="1" applyAlignment="1">
      <alignment wrapText="1"/>
    </xf>
    <xf numFmtId="165" fontId="17" fillId="13" borderId="18" xfId="0" applyNumberFormat="1" applyFont="1" applyFill="1" applyBorder="1" applyAlignment="1">
      <alignment horizontal="center" vertical="center"/>
    </xf>
    <xf numFmtId="0" fontId="2" fillId="13" borderId="2" xfId="0" applyFont="1" applyFill="1" applyBorder="1" applyAlignment="1">
      <alignment wrapText="1"/>
    </xf>
    <xf numFmtId="3" fontId="7" fillId="6" borderId="1" xfId="0" applyNumberFormat="1" applyFont="1" applyFill="1" applyBorder="1" applyAlignment="1">
      <alignment horizontal="center" vertical="center"/>
    </xf>
    <xf numFmtId="164" fontId="5" fillId="6" borderId="1" xfId="0" applyNumberFormat="1" applyFont="1" applyFill="1" applyBorder="1" applyAlignment="1">
      <alignment horizontal="center" vertical="center"/>
    </xf>
    <xf numFmtId="3" fontId="5" fillId="6" borderId="1" xfId="0" applyNumberFormat="1" applyFont="1" applyFill="1" applyBorder="1" applyAlignment="1">
      <alignment horizontal="center" vertical="center"/>
    </xf>
    <xf numFmtId="3" fontId="5" fillId="0" borderId="0" xfId="0" applyNumberFormat="1" applyFont="1"/>
    <xf numFmtId="0" fontId="5" fillId="8" borderId="1" xfId="0" applyFont="1" applyFill="1" applyBorder="1" applyAlignment="1">
      <alignment horizontal="left" vertical="center"/>
    </xf>
    <xf numFmtId="0" fontId="12" fillId="6" borderId="1" xfId="0" applyFont="1" applyFill="1" applyBorder="1" applyAlignment="1">
      <alignment horizontal="center" wrapText="1"/>
    </xf>
    <xf numFmtId="3" fontId="4" fillId="6" borderId="1" xfId="0" applyNumberFormat="1" applyFont="1" applyFill="1" applyBorder="1" applyAlignment="1">
      <alignment horizontal="center" vertical="center"/>
    </xf>
    <xf numFmtId="3" fontId="26" fillId="13" borderId="4" xfId="0" applyNumberFormat="1" applyFont="1" applyFill="1" applyBorder="1" applyAlignment="1">
      <alignment horizontal="center" vertical="center"/>
    </xf>
    <xf numFmtId="0" fontId="21" fillId="3" borderId="2" xfId="0" applyFont="1" applyFill="1" applyBorder="1" applyAlignment="1">
      <alignment wrapText="1"/>
    </xf>
    <xf numFmtId="10" fontId="17" fillId="3" borderId="1" xfId="0" applyNumberFormat="1" applyFont="1" applyFill="1" applyBorder="1" applyAlignment="1">
      <alignment horizontal="center" vertical="center"/>
    </xf>
    <xf numFmtId="3" fontId="10" fillId="3" borderId="1" xfId="0" applyNumberFormat="1" applyFont="1" applyFill="1" applyBorder="1" applyAlignment="1">
      <alignment horizontal="left" vertical="top"/>
    </xf>
    <xf numFmtId="0" fontId="10" fillId="3" borderId="1" xfId="0" applyFont="1" applyFill="1" applyBorder="1"/>
    <xf numFmtId="4" fontId="11" fillId="3" borderId="1" xfId="0" applyNumberFormat="1" applyFont="1" applyFill="1" applyBorder="1" applyAlignment="1">
      <alignment horizontal="left"/>
    </xf>
    <xf numFmtId="0" fontId="5" fillId="6" borderId="1" xfId="0" applyFont="1" applyFill="1" applyBorder="1" applyAlignment="1">
      <alignment wrapText="1"/>
    </xf>
    <xf numFmtId="0" fontId="5" fillId="6" borderId="1" xfId="0" applyFont="1" applyFill="1" applyBorder="1" applyAlignment="1">
      <alignment horizontal="center" vertical="center" wrapText="1"/>
    </xf>
    <xf numFmtId="3" fontId="5" fillId="6" borderId="6" xfId="0" applyNumberFormat="1" applyFont="1" applyFill="1" applyBorder="1" applyAlignment="1">
      <alignment horizontal="center" vertical="center"/>
    </xf>
    <xf numFmtId="3" fontId="29" fillId="13" borderId="4" xfId="0" applyNumberFormat="1" applyFont="1" applyFill="1" applyBorder="1" applyAlignment="1">
      <alignment horizontal="center" vertical="center"/>
    </xf>
    <xf numFmtId="0" fontId="14" fillId="6" borderId="1" xfId="0" applyFont="1" applyFill="1" applyBorder="1" applyAlignment="1">
      <alignment horizontal="center" wrapText="1"/>
    </xf>
    <xf numFmtId="3" fontId="30" fillId="3" borderId="9" xfId="0" applyNumberFormat="1" applyFont="1" applyFill="1" applyBorder="1" applyAlignment="1">
      <alignment horizontal="center" vertical="center"/>
    </xf>
    <xf numFmtId="0" fontId="5" fillId="16" borderId="18" xfId="0" applyFont="1" applyFill="1" applyBorder="1" applyAlignment="1">
      <alignment horizontal="left" wrapText="1"/>
    </xf>
    <xf numFmtId="3" fontId="5" fillId="16" borderId="18" xfId="0" applyNumberFormat="1" applyFont="1" applyFill="1" applyBorder="1" applyAlignment="1">
      <alignment horizontal="center" vertical="center"/>
    </xf>
    <xf numFmtId="0" fontId="5" fillId="6" borderId="18" xfId="0" applyFont="1" applyFill="1" applyBorder="1" applyAlignment="1">
      <alignment wrapText="1"/>
    </xf>
    <xf numFmtId="0" fontId="10" fillId="15" borderId="18" xfId="0" applyFont="1" applyFill="1" applyBorder="1" applyAlignment="1">
      <alignment horizontal="center" vertical="center" wrapText="1"/>
    </xf>
    <xf numFmtId="0" fontId="10" fillId="15" borderId="18" xfId="0" applyFont="1" applyFill="1" applyBorder="1" applyAlignment="1">
      <alignment horizontal="center" vertical="center"/>
    </xf>
    <xf numFmtId="0" fontId="10" fillId="15" borderId="18" xfId="0" applyFont="1" applyFill="1" applyBorder="1" applyAlignment="1">
      <alignment horizontal="center" vertical="top"/>
    </xf>
    <xf numFmtId="3" fontId="32" fillId="6" borderId="18" xfId="0" applyNumberFormat="1" applyFont="1" applyFill="1" applyBorder="1" applyAlignment="1">
      <alignment horizontal="center" vertical="center"/>
    </xf>
    <xf numFmtId="3" fontId="33" fillId="6" borderId="18" xfId="0" applyNumberFormat="1" applyFont="1" applyFill="1" applyBorder="1" applyAlignment="1">
      <alignment horizontal="center" vertical="center"/>
    </xf>
    <xf numFmtId="3" fontId="33" fillId="16" borderId="18" xfId="0" applyNumberFormat="1" applyFont="1" applyFill="1" applyBorder="1" applyAlignment="1">
      <alignment horizontal="center" vertical="center"/>
    </xf>
    <xf numFmtId="164" fontId="3" fillId="0" borderId="22" xfId="0" applyNumberFormat="1" applyFont="1" applyBorder="1" applyAlignment="1">
      <alignment horizontal="center" vertical="center" wrapText="1"/>
    </xf>
    <xf numFmtId="164" fontId="13" fillId="2" borderId="23" xfId="0" applyNumberFormat="1" applyFont="1" applyFill="1" applyBorder="1" applyAlignment="1">
      <alignment horizontal="center" vertical="center"/>
    </xf>
    <xf numFmtId="2" fontId="13" fillId="2" borderId="24" xfId="0" applyNumberFormat="1" applyFont="1" applyFill="1" applyBorder="1" applyAlignment="1">
      <alignment horizontal="center" vertical="center"/>
    </xf>
    <xf numFmtId="164" fontId="11" fillId="15" borderId="25" xfId="0" applyNumberFormat="1" applyFont="1" applyFill="1" applyBorder="1" applyAlignment="1">
      <alignment horizontal="center" vertical="center"/>
    </xf>
    <xf numFmtId="3" fontId="18" fillId="15" borderId="21" xfId="0" applyNumberFormat="1" applyFont="1" applyFill="1" applyBorder="1" applyAlignment="1">
      <alignment horizontal="center" vertical="center"/>
    </xf>
    <xf numFmtId="3" fontId="18" fillId="15" borderId="26" xfId="0" applyNumberFormat="1" applyFont="1" applyFill="1" applyBorder="1" applyAlignment="1">
      <alignment horizontal="center" vertical="center"/>
    </xf>
    <xf numFmtId="3" fontId="13" fillId="10" borderId="28" xfId="0" applyNumberFormat="1" applyFont="1" applyFill="1" applyBorder="1" applyAlignment="1">
      <alignment horizontal="center" vertical="center"/>
    </xf>
    <xf numFmtId="3" fontId="13" fillId="10" borderId="29" xfId="0" applyNumberFormat="1" applyFont="1" applyFill="1" applyBorder="1" applyAlignment="1">
      <alignment horizontal="center" vertical="center"/>
    </xf>
    <xf numFmtId="164" fontId="3" fillId="10" borderId="27" xfId="0" applyNumberFormat="1" applyFont="1" applyFill="1" applyBorder="1" applyAlignment="1">
      <alignment horizontal="center" vertical="center" wrapText="1"/>
    </xf>
    <xf numFmtId="4" fontId="6" fillId="8" borderId="1" xfId="0" applyNumberFormat="1" applyFont="1" applyFill="1" applyBorder="1" applyAlignment="1">
      <alignment horizontal="center" vertical="center"/>
    </xf>
    <xf numFmtId="1" fontId="15" fillId="6" borderId="39" xfId="0" applyNumberFormat="1" applyFont="1" applyFill="1" applyBorder="1" applyAlignment="1">
      <alignment horizontal="center" vertical="center" wrapText="1"/>
    </xf>
    <xf numFmtId="3" fontId="22" fillId="6" borderId="41" xfId="0" applyNumberFormat="1" applyFont="1" applyFill="1" applyBorder="1" applyAlignment="1">
      <alignment horizontal="center" vertical="center"/>
    </xf>
    <xf numFmtId="3" fontId="35" fillId="13" borderId="4" xfId="0" applyNumberFormat="1" applyFont="1" applyFill="1" applyBorder="1" applyAlignment="1">
      <alignment horizontal="center" vertical="center"/>
    </xf>
    <xf numFmtId="3" fontId="39" fillId="16" borderId="18" xfId="0" applyNumberFormat="1" applyFont="1" applyFill="1" applyBorder="1" applyAlignment="1">
      <alignment horizontal="center" vertical="center"/>
    </xf>
    <xf numFmtId="3" fontId="40" fillId="6" borderId="18" xfId="0" applyNumberFormat="1" applyFont="1" applyFill="1" applyBorder="1" applyAlignment="1">
      <alignment horizontal="center" vertical="center"/>
    </xf>
    <xf numFmtId="3" fontId="39" fillId="6" borderId="18" xfId="0" applyNumberFormat="1" applyFont="1" applyFill="1" applyBorder="1" applyAlignment="1">
      <alignment horizontal="center" vertical="center"/>
    </xf>
    <xf numFmtId="3" fontId="40" fillId="3" borderId="18" xfId="0" applyNumberFormat="1" applyFont="1" applyFill="1" applyBorder="1" applyAlignment="1">
      <alignment horizontal="center" vertical="center"/>
    </xf>
    <xf numFmtId="3" fontId="39" fillId="3" borderId="18" xfId="0" applyNumberFormat="1" applyFont="1" applyFill="1" applyBorder="1" applyAlignment="1">
      <alignment horizontal="center" vertical="center"/>
    </xf>
    <xf numFmtId="3" fontId="34" fillId="19" borderId="1" xfId="0" applyNumberFormat="1" applyFont="1" applyFill="1" applyBorder="1" applyAlignment="1">
      <alignment horizontal="center" vertical="center"/>
    </xf>
    <xf numFmtId="3" fontId="22" fillId="19" borderId="1" xfId="0" applyNumberFormat="1" applyFont="1" applyFill="1" applyBorder="1" applyAlignment="1">
      <alignment horizontal="center" vertical="center"/>
    </xf>
    <xf numFmtId="4" fontId="22" fillId="19" borderId="1" xfId="0" applyNumberFormat="1" applyFont="1" applyFill="1" applyBorder="1" applyAlignment="1">
      <alignment horizontal="center" vertical="center"/>
    </xf>
    <xf numFmtId="164" fontId="14" fillId="10" borderId="1" xfId="0" applyNumberFormat="1" applyFont="1" applyFill="1" applyBorder="1" applyAlignment="1">
      <alignment wrapText="1"/>
    </xf>
    <xf numFmtId="0" fontId="21" fillId="3" borderId="2" xfId="0" applyFont="1" applyFill="1" applyBorder="1" applyAlignment="1">
      <alignment vertical="center" wrapText="1"/>
    </xf>
    <xf numFmtId="3" fontId="18" fillId="3" borderId="21" xfId="0" applyNumberFormat="1" applyFont="1" applyFill="1" applyBorder="1" applyAlignment="1">
      <alignment horizontal="center" vertical="center"/>
    </xf>
    <xf numFmtId="3" fontId="18" fillId="3" borderId="26" xfId="0" applyNumberFormat="1" applyFont="1" applyFill="1" applyBorder="1" applyAlignment="1">
      <alignment horizontal="center" vertical="center"/>
    </xf>
    <xf numFmtId="3" fontId="41" fillId="3" borderId="1" xfId="0" applyNumberFormat="1" applyFont="1" applyFill="1" applyBorder="1" applyAlignment="1">
      <alignment horizontal="center" vertical="center"/>
    </xf>
    <xf numFmtId="2" fontId="25" fillId="3" borderId="0" xfId="0" applyNumberFormat="1" applyFont="1" applyFill="1"/>
    <xf numFmtId="2" fontId="25" fillId="3" borderId="0" xfId="0" applyNumberFormat="1" applyFont="1" applyFill="1" applyAlignment="1">
      <alignment horizontal="left" vertical="center"/>
    </xf>
    <xf numFmtId="164" fontId="11" fillId="3" borderId="25" xfId="0" applyNumberFormat="1" applyFont="1" applyFill="1" applyBorder="1" applyAlignment="1">
      <alignment horizontal="center" vertical="center"/>
    </xf>
    <xf numFmtId="0" fontId="12" fillId="14" borderId="1" xfId="0" applyFont="1" applyFill="1" applyBorder="1" applyAlignment="1">
      <alignment horizontal="left" vertical="center" wrapText="1"/>
    </xf>
    <xf numFmtId="0" fontId="11" fillId="15" borderId="47" xfId="0" applyFont="1" applyFill="1" applyBorder="1" applyAlignment="1">
      <alignment horizontal="center" vertical="center" wrapText="1"/>
    </xf>
    <xf numFmtId="0" fontId="13" fillId="2" borderId="12" xfId="0" applyFont="1" applyFill="1" applyBorder="1" applyAlignment="1">
      <alignment horizontal="center" vertical="center"/>
    </xf>
    <xf numFmtId="4" fontId="31" fillId="3" borderId="1" xfId="0" applyNumberFormat="1" applyFont="1" applyFill="1" applyBorder="1" applyAlignment="1">
      <alignment horizontal="center" vertical="center"/>
    </xf>
    <xf numFmtId="0" fontId="5" fillId="0" borderId="0" xfId="0" applyFont="1" applyAlignment="1">
      <alignment horizontal="center" vertical="center"/>
    </xf>
    <xf numFmtId="0" fontId="5" fillId="0" borderId="47" xfId="0" applyFont="1" applyBorder="1" applyAlignment="1">
      <alignment horizontal="center" vertical="center"/>
    </xf>
    <xf numFmtId="3" fontId="5" fillId="0" borderId="47" xfId="0" applyNumberFormat="1" applyFont="1" applyBorder="1" applyAlignment="1">
      <alignment horizontal="center" vertical="center"/>
    </xf>
    <xf numFmtId="0" fontId="5" fillId="0" borderId="47" xfId="0" applyFont="1" applyBorder="1" applyAlignment="1">
      <alignment wrapText="1"/>
    </xf>
    <xf numFmtId="0" fontId="5" fillId="0" borderId="5" xfId="0" applyFont="1" applyBorder="1" applyAlignment="1">
      <alignment vertical="center" wrapText="1"/>
    </xf>
    <xf numFmtId="0" fontId="44" fillId="15" borderId="47" xfId="0" applyFont="1" applyFill="1" applyBorder="1" applyAlignment="1">
      <alignment horizontal="center" vertical="center" wrapText="1"/>
    </xf>
    <xf numFmtId="3" fontId="46" fillId="15" borderId="3" xfId="0" applyNumberFormat="1" applyFont="1" applyFill="1" applyBorder="1" applyAlignment="1">
      <alignment horizontal="center" vertical="center"/>
    </xf>
    <xf numFmtId="3" fontId="46" fillId="15" borderId="0" xfId="0" applyNumberFormat="1" applyFont="1" applyFill="1" applyAlignment="1">
      <alignment horizontal="left" vertical="center"/>
    </xf>
    <xf numFmtId="3" fontId="46" fillId="15" borderId="52" xfId="0" applyNumberFormat="1" applyFont="1" applyFill="1" applyBorder="1" applyAlignment="1">
      <alignment horizontal="left" vertical="center"/>
    </xf>
    <xf numFmtId="0" fontId="11" fillId="15" borderId="18" xfId="0" applyFont="1" applyFill="1" applyBorder="1" applyAlignment="1">
      <alignment horizontal="center" vertical="center" wrapText="1"/>
    </xf>
    <xf numFmtId="0" fontId="11" fillId="15" borderId="18" xfId="0" applyFont="1" applyFill="1" applyBorder="1" applyAlignment="1">
      <alignment horizontal="center" vertical="center"/>
    </xf>
    <xf numFmtId="0" fontId="3" fillId="16" borderId="18" xfId="0" applyFont="1" applyFill="1" applyBorder="1" applyAlignment="1">
      <alignment horizontal="left" vertical="center" wrapText="1"/>
    </xf>
    <xf numFmtId="3" fontId="15" fillId="6" borderId="18" xfId="0" applyNumberFormat="1" applyFont="1" applyFill="1" applyBorder="1" applyAlignment="1">
      <alignment horizontal="left" vertical="center" wrapText="1"/>
    </xf>
    <xf numFmtId="0" fontId="3" fillId="3" borderId="18" xfId="0" applyFont="1" applyFill="1" applyBorder="1" applyAlignment="1">
      <alignment vertical="center" wrapText="1"/>
    </xf>
    <xf numFmtId="3" fontId="47" fillId="16" borderId="18" xfId="0" applyNumberFormat="1" applyFont="1" applyFill="1" applyBorder="1" applyAlignment="1">
      <alignment horizontal="center" vertical="center"/>
    </xf>
    <xf numFmtId="3" fontId="47" fillId="6" borderId="18" xfId="0" applyNumberFormat="1" applyFont="1" applyFill="1" applyBorder="1" applyAlignment="1">
      <alignment horizontal="center" vertical="center"/>
    </xf>
    <xf numFmtId="3" fontId="47" fillId="3" borderId="18" xfId="0" applyNumberFormat="1" applyFont="1" applyFill="1" applyBorder="1" applyAlignment="1">
      <alignment horizontal="center" vertical="center"/>
    </xf>
    <xf numFmtId="3" fontId="15" fillId="16" borderId="18" xfId="0" applyNumberFormat="1" applyFont="1" applyFill="1" applyBorder="1" applyAlignment="1">
      <alignment horizontal="center" vertical="center"/>
    </xf>
    <xf numFmtId="3" fontId="15" fillId="6" borderId="18" xfId="0" applyNumberFormat="1" applyFont="1" applyFill="1" applyBorder="1" applyAlignment="1">
      <alignment horizontal="center" vertical="center"/>
    </xf>
    <xf numFmtId="3" fontId="15" fillId="3" borderId="18" xfId="0" applyNumberFormat="1" applyFont="1" applyFill="1" applyBorder="1" applyAlignment="1">
      <alignment horizontal="center" vertical="center"/>
    </xf>
    <xf numFmtId="3" fontId="44" fillId="15" borderId="47" xfId="0" applyNumberFormat="1" applyFont="1" applyFill="1" applyBorder="1" applyAlignment="1">
      <alignment horizontal="center" vertical="center"/>
    </xf>
    <xf numFmtId="1" fontId="44" fillId="15" borderId="47" xfId="0" applyNumberFormat="1" applyFont="1" applyFill="1" applyBorder="1" applyAlignment="1">
      <alignment horizontal="center" vertical="center"/>
    </xf>
    <xf numFmtId="3" fontId="32" fillId="18" borderId="18" xfId="0" applyNumberFormat="1" applyFont="1" applyFill="1" applyBorder="1" applyAlignment="1">
      <alignment horizontal="center" vertical="center"/>
    </xf>
    <xf numFmtId="3" fontId="33" fillId="18" borderId="18" xfId="0" applyNumberFormat="1" applyFont="1" applyFill="1" applyBorder="1" applyAlignment="1">
      <alignment horizontal="center" vertical="center"/>
    </xf>
    <xf numFmtId="2" fontId="33" fillId="18" borderId="18" xfId="0" applyNumberFormat="1" applyFont="1" applyFill="1" applyBorder="1" applyAlignment="1">
      <alignment horizontal="center" vertical="center"/>
    </xf>
    <xf numFmtId="0" fontId="5" fillId="18" borderId="18" xfId="0" applyFont="1" applyFill="1" applyBorder="1" applyAlignment="1">
      <alignment wrapText="1"/>
    </xf>
    <xf numFmtId="0" fontId="5" fillId="0" borderId="48" xfId="0" applyFont="1" applyBorder="1" applyAlignment="1">
      <alignment horizontal="center" vertical="center"/>
    </xf>
    <xf numFmtId="3" fontId="5" fillId="0" borderId="48" xfId="0" applyNumberFormat="1" applyFont="1" applyBorder="1" applyAlignment="1">
      <alignment horizontal="center" vertical="center"/>
    </xf>
    <xf numFmtId="3" fontId="5" fillId="0" borderId="0" xfId="0" applyNumberFormat="1" applyFont="1" applyAlignment="1">
      <alignment horizontal="center" vertical="center"/>
    </xf>
    <xf numFmtId="4" fontId="3" fillId="10" borderId="9" xfId="0" applyNumberFormat="1" applyFont="1" applyFill="1" applyBorder="1" applyAlignment="1">
      <alignment horizontal="center" vertical="center"/>
    </xf>
    <xf numFmtId="0" fontId="10" fillId="15" borderId="18" xfId="0" applyFont="1" applyFill="1" applyBorder="1" applyAlignment="1">
      <alignment horizontal="left" vertical="center" wrapText="1"/>
    </xf>
    <xf numFmtId="0" fontId="11" fillId="3" borderId="0" xfId="0" applyFont="1" applyFill="1" applyAlignment="1">
      <alignment horizontal="center" vertical="center" wrapText="1"/>
    </xf>
    <xf numFmtId="0" fontId="24" fillId="3" borderId="47" xfId="0" applyFont="1" applyFill="1" applyBorder="1" applyAlignment="1">
      <alignment horizontal="center" vertical="center" wrapText="1"/>
    </xf>
    <xf numFmtId="0" fontId="5" fillId="0" borderId="58" xfId="0" applyFont="1" applyBorder="1" applyAlignment="1">
      <alignment horizontal="center" vertical="center"/>
    </xf>
    <xf numFmtId="2" fontId="5" fillId="0" borderId="58" xfId="0" applyNumberFormat="1" applyFont="1" applyBorder="1" applyAlignment="1">
      <alignment horizontal="center" vertical="center"/>
    </xf>
    <xf numFmtId="2" fontId="5" fillId="19" borderId="47" xfId="0" applyNumberFormat="1" applyFont="1" applyFill="1" applyBorder="1" applyAlignment="1">
      <alignment horizontal="center" vertical="center"/>
    </xf>
    <xf numFmtId="0" fontId="5" fillId="8" borderId="2" xfId="0" applyFont="1" applyFill="1" applyBorder="1"/>
    <xf numFmtId="0" fontId="5" fillId="8" borderId="2" xfId="0" applyFont="1" applyFill="1" applyBorder="1" applyAlignment="1">
      <alignment horizontal="left" vertical="center"/>
    </xf>
    <xf numFmtId="4" fontId="4" fillId="8" borderId="18" xfId="0" applyNumberFormat="1" applyFont="1" applyFill="1" applyBorder="1" applyAlignment="1">
      <alignment horizontal="center" vertical="center"/>
    </xf>
    <xf numFmtId="166" fontId="6" fillId="8" borderId="18" xfId="0" applyNumberFormat="1" applyFont="1" applyFill="1" applyBorder="1" applyAlignment="1">
      <alignment horizontal="center" vertical="center"/>
    </xf>
    <xf numFmtId="0" fontId="5" fillId="6" borderId="18" xfId="0" applyFont="1" applyFill="1" applyBorder="1" applyAlignment="1">
      <alignment horizontal="center" vertical="center" wrapText="1"/>
    </xf>
    <xf numFmtId="0" fontId="5" fillId="18" borderId="18" xfId="0" applyFont="1" applyFill="1" applyBorder="1" applyAlignment="1">
      <alignment horizontal="center" vertical="center" wrapText="1"/>
    </xf>
    <xf numFmtId="49" fontId="5" fillId="0" borderId="0" xfId="0" applyNumberFormat="1" applyFont="1"/>
    <xf numFmtId="3" fontId="11" fillId="15" borderId="63" xfId="0" applyNumberFormat="1" applyFont="1" applyFill="1" applyBorder="1" applyAlignment="1">
      <alignment horizontal="center" vertical="center"/>
    </xf>
    <xf numFmtId="3" fontId="11" fillId="15" borderId="64" xfId="0" applyNumberFormat="1" applyFont="1" applyFill="1" applyBorder="1" applyAlignment="1">
      <alignment horizontal="center" vertical="center"/>
    </xf>
    <xf numFmtId="49" fontId="10" fillId="15" borderId="65" xfId="0" applyNumberFormat="1" applyFont="1" applyFill="1" applyBorder="1" applyAlignment="1">
      <alignment horizontal="center" vertical="center"/>
    </xf>
    <xf numFmtId="49" fontId="10" fillId="15" borderId="66" xfId="0" applyNumberFormat="1" applyFont="1" applyFill="1" applyBorder="1" applyAlignment="1">
      <alignment horizontal="center" vertical="center"/>
    </xf>
    <xf numFmtId="3" fontId="43" fillId="15" borderId="72" xfId="0" applyNumberFormat="1" applyFont="1" applyFill="1" applyBorder="1" applyAlignment="1">
      <alignment horizontal="center" vertical="center"/>
    </xf>
    <xf numFmtId="0" fontId="10" fillId="15" borderId="49" xfId="0" applyFont="1" applyFill="1" applyBorder="1" applyAlignment="1">
      <alignment horizontal="center" vertical="center" wrapText="1"/>
    </xf>
    <xf numFmtId="0" fontId="5" fillId="16" borderId="47" xfId="0" applyFont="1" applyFill="1" applyBorder="1" applyAlignment="1">
      <alignment horizontal="center" vertical="center"/>
    </xf>
    <xf numFmtId="2" fontId="5" fillId="16" borderId="58" xfId="0" applyNumberFormat="1" applyFont="1" applyFill="1" applyBorder="1" applyAlignment="1">
      <alignment horizontal="center" vertical="center"/>
    </xf>
    <xf numFmtId="3" fontId="5" fillId="16" borderId="47" xfId="0" applyNumberFormat="1" applyFont="1" applyFill="1" applyBorder="1" applyAlignment="1">
      <alignment horizontal="center" vertical="center"/>
    </xf>
    <xf numFmtId="2" fontId="5" fillId="16" borderId="47" xfId="0" applyNumberFormat="1" applyFont="1" applyFill="1" applyBorder="1" applyAlignment="1">
      <alignment horizontal="center" vertical="center"/>
    </xf>
    <xf numFmtId="0" fontId="9" fillId="16" borderId="58" xfId="0" applyFont="1" applyFill="1" applyBorder="1" applyAlignment="1">
      <alignment horizontal="center" vertical="center" wrapText="1"/>
    </xf>
    <xf numFmtId="0" fontId="9" fillId="16" borderId="47" xfId="0" applyFont="1" applyFill="1" applyBorder="1" applyAlignment="1">
      <alignment vertical="center"/>
    </xf>
    <xf numFmtId="0" fontId="9" fillId="16" borderId="47" xfId="0" applyFont="1" applyFill="1" applyBorder="1" applyAlignment="1">
      <alignment vertical="center" wrapText="1"/>
    </xf>
    <xf numFmtId="0" fontId="5" fillId="19" borderId="35" xfId="0" applyFont="1" applyFill="1" applyBorder="1" applyAlignment="1">
      <alignment horizontal="center" vertical="center" wrapText="1"/>
    </xf>
    <xf numFmtId="3" fontId="52" fillId="19" borderId="18" xfId="0" applyNumberFormat="1" applyFont="1" applyFill="1" applyBorder="1" applyAlignment="1">
      <alignment horizontal="center" vertical="center"/>
    </xf>
    <xf numFmtId="3" fontId="54" fillId="19" borderId="18" xfId="0" applyNumberFormat="1" applyFont="1" applyFill="1" applyBorder="1" applyAlignment="1">
      <alignment horizontal="center" vertical="center"/>
    </xf>
    <xf numFmtId="0" fontId="5" fillId="3" borderId="1" xfId="0" applyFont="1" applyFill="1" applyBorder="1" applyAlignment="1">
      <alignment horizontal="center" vertical="center"/>
    </xf>
    <xf numFmtId="2" fontId="5" fillId="2" borderId="1" xfId="0" applyNumberFormat="1" applyFont="1" applyFill="1" applyBorder="1" applyAlignment="1">
      <alignment horizontal="center" vertical="center"/>
    </xf>
    <xf numFmtId="0" fontId="5" fillId="23" borderId="1" xfId="0" applyFont="1" applyFill="1" applyBorder="1" applyAlignment="1">
      <alignment horizontal="left"/>
    </xf>
    <xf numFmtId="4" fontId="5" fillId="23" borderId="1" xfId="0" applyNumberFormat="1" applyFont="1" applyFill="1" applyBorder="1" applyAlignment="1">
      <alignment horizontal="left"/>
    </xf>
    <xf numFmtId="0" fontId="5" fillId="24" borderId="1" xfId="0" applyFont="1" applyFill="1" applyBorder="1" applyAlignment="1">
      <alignment horizontal="center" vertical="center"/>
    </xf>
    <xf numFmtId="0" fontId="5" fillId="3" borderId="73" xfId="0" applyFont="1" applyFill="1" applyBorder="1" applyAlignment="1">
      <alignment horizontal="center" vertical="center"/>
    </xf>
    <xf numFmtId="2" fontId="5" fillId="17" borderId="1" xfId="0" applyNumberFormat="1" applyFont="1" applyFill="1" applyBorder="1" applyAlignment="1">
      <alignment horizontal="center" vertical="center"/>
    </xf>
    <xf numFmtId="3" fontId="5" fillId="4" borderId="1" xfId="0" applyNumberFormat="1" applyFont="1" applyFill="1" applyBorder="1" applyAlignment="1">
      <alignment horizontal="left" vertical="center"/>
    </xf>
    <xf numFmtId="3" fontId="5" fillId="4" borderId="1" xfId="0" applyNumberFormat="1" applyFont="1" applyFill="1" applyBorder="1" applyAlignment="1">
      <alignment horizontal="center" vertical="center"/>
    </xf>
    <xf numFmtId="0" fontId="37" fillId="17" borderId="18" xfId="0" applyFont="1" applyFill="1" applyBorder="1" applyAlignment="1">
      <alignment horizontal="center" vertical="center" wrapText="1"/>
    </xf>
    <xf numFmtId="0" fontId="5" fillId="16" borderId="47" xfId="0" applyFont="1" applyFill="1" applyBorder="1" applyAlignment="1">
      <alignment horizontal="center" vertical="center" wrapText="1"/>
    </xf>
    <xf numFmtId="0" fontId="5" fillId="0" borderId="0" xfId="0" applyFont="1" applyAlignment="1">
      <alignment vertical="center"/>
    </xf>
    <xf numFmtId="0" fontId="10" fillId="15" borderId="47" xfId="0" applyFont="1" applyFill="1" applyBorder="1" applyAlignment="1">
      <alignment horizontal="center" vertical="center" wrapText="1"/>
    </xf>
    <xf numFmtId="0" fontId="5" fillId="0" borderId="1" xfId="0" applyFont="1" applyBorder="1"/>
    <xf numFmtId="3" fontId="34" fillId="18" borderId="18" xfId="0" applyNumberFormat="1" applyFont="1" applyFill="1" applyBorder="1" applyAlignment="1">
      <alignment horizontal="center" vertical="center"/>
    </xf>
    <xf numFmtId="3" fontId="10" fillId="15" borderId="1" xfId="0" applyNumberFormat="1" applyFont="1" applyFill="1" applyBorder="1" applyAlignment="1">
      <alignment horizontal="center" vertical="center"/>
    </xf>
    <xf numFmtId="3" fontId="51" fillId="19" borderId="1" xfId="0" applyNumberFormat="1" applyFont="1" applyFill="1" applyBorder="1" applyAlignment="1">
      <alignment horizontal="center" vertical="center"/>
    </xf>
    <xf numFmtId="3" fontId="10" fillId="15" borderId="2" xfId="0" applyNumberFormat="1" applyFont="1" applyFill="1" applyBorder="1" applyAlignment="1">
      <alignment horizontal="center" vertical="center"/>
    </xf>
    <xf numFmtId="3" fontId="51" fillId="19" borderId="2" xfId="0" applyNumberFormat="1" applyFont="1" applyFill="1" applyBorder="1" applyAlignment="1">
      <alignment horizontal="center" vertical="center"/>
    </xf>
    <xf numFmtId="0" fontId="10" fillId="15" borderId="47" xfId="0" applyFont="1" applyFill="1" applyBorder="1" applyAlignment="1">
      <alignment horizontal="center" vertical="center"/>
    </xf>
    <xf numFmtId="0" fontId="51" fillId="19" borderId="47" xfId="0" applyFont="1" applyFill="1" applyBorder="1" applyAlignment="1">
      <alignment horizontal="center" vertical="center"/>
    </xf>
    <xf numFmtId="0" fontId="3" fillId="22" borderId="73" xfId="0" applyFont="1" applyFill="1" applyBorder="1" applyAlignment="1">
      <alignment vertical="center" wrapText="1"/>
    </xf>
    <xf numFmtId="2" fontId="5" fillId="2" borderId="73" xfId="0" applyNumberFormat="1" applyFont="1" applyFill="1" applyBorder="1" applyAlignment="1">
      <alignment horizontal="center" vertical="center" wrapText="1"/>
    </xf>
    <xf numFmtId="0" fontId="5" fillId="22" borderId="73" xfId="0" applyFont="1" applyFill="1" applyBorder="1" applyAlignment="1">
      <alignment horizontal="center" vertical="center" wrapText="1"/>
    </xf>
    <xf numFmtId="0" fontId="14" fillId="19" borderId="46" xfId="0" applyFont="1" applyFill="1" applyBorder="1" applyAlignment="1">
      <alignment horizontal="center" vertical="center" wrapText="1"/>
    </xf>
    <xf numFmtId="0" fontId="5" fillId="19" borderId="46" xfId="0" applyFont="1" applyFill="1" applyBorder="1" applyAlignment="1">
      <alignment horizontal="center" vertical="center" wrapText="1"/>
    </xf>
    <xf numFmtId="3" fontId="5" fillId="5" borderId="1" xfId="0" applyNumberFormat="1" applyFont="1" applyFill="1" applyBorder="1" applyAlignment="1">
      <alignment horizontal="center" vertical="center"/>
    </xf>
    <xf numFmtId="2" fontId="52" fillId="17" borderId="0" xfId="0" applyNumberFormat="1" applyFont="1" applyFill="1" applyAlignment="1">
      <alignment horizontal="center" vertical="center"/>
    </xf>
    <xf numFmtId="0" fontId="5" fillId="4" borderId="4" xfId="0" applyFont="1" applyFill="1" applyBorder="1" applyAlignment="1">
      <alignment vertical="center"/>
    </xf>
    <xf numFmtId="164" fontId="5" fillId="4" borderId="1" xfId="0" applyNumberFormat="1" applyFont="1" applyFill="1" applyBorder="1" applyAlignment="1">
      <alignment horizontal="left" vertical="center"/>
    </xf>
    <xf numFmtId="3" fontId="40" fillId="6" borderId="59" xfId="0" applyNumberFormat="1" applyFont="1" applyFill="1" applyBorder="1" applyAlignment="1">
      <alignment horizontal="center" vertical="center"/>
    </xf>
    <xf numFmtId="3" fontId="36" fillId="6" borderId="18" xfId="0" applyNumberFormat="1" applyFont="1" applyFill="1" applyBorder="1" applyAlignment="1">
      <alignment horizontal="center" vertical="center"/>
    </xf>
    <xf numFmtId="3" fontId="36" fillId="16" borderId="18" xfId="0" applyNumberFormat="1" applyFont="1" applyFill="1" applyBorder="1" applyAlignment="1">
      <alignment horizontal="center" vertical="center"/>
    </xf>
    <xf numFmtId="3" fontId="55" fillId="16" borderId="18" xfId="0" applyNumberFormat="1" applyFont="1" applyFill="1" applyBorder="1" applyAlignment="1">
      <alignment horizontal="center" vertical="center"/>
    </xf>
    <xf numFmtId="3" fontId="55" fillId="6" borderId="18" xfId="0" applyNumberFormat="1" applyFont="1" applyFill="1" applyBorder="1" applyAlignment="1">
      <alignment horizontal="center" vertical="center"/>
    </xf>
    <xf numFmtId="3" fontId="20" fillId="16" borderId="18" xfId="0" applyNumberFormat="1" applyFont="1" applyFill="1" applyBorder="1" applyAlignment="1">
      <alignment horizontal="center" vertical="center"/>
    </xf>
    <xf numFmtId="3" fontId="20" fillId="6" borderId="18" xfId="0" applyNumberFormat="1" applyFont="1" applyFill="1" applyBorder="1" applyAlignment="1">
      <alignment horizontal="center" vertical="center"/>
    </xf>
    <xf numFmtId="3" fontId="20" fillId="6" borderId="0" xfId="0" applyNumberFormat="1" applyFont="1" applyFill="1" applyAlignment="1">
      <alignment horizontal="center" vertical="center"/>
    </xf>
    <xf numFmtId="3" fontId="36" fillId="3" borderId="18" xfId="0" applyNumberFormat="1" applyFont="1" applyFill="1" applyBorder="1" applyAlignment="1">
      <alignment horizontal="center" vertical="center"/>
    </xf>
    <xf numFmtId="3" fontId="20" fillId="3" borderId="18" xfId="0" applyNumberFormat="1" applyFont="1" applyFill="1" applyBorder="1" applyAlignment="1">
      <alignment horizontal="center" vertical="center"/>
    </xf>
    <xf numFmtId="3" fontId="55" fillId="3" borderId="18" xfId="0" applyNumberFormat="1" applyFont="1" applyFill="1" applyBorder="1" applyAlignment="1">
      <alignment horizontal="center" vertical="center"/>
    </xf>
    <xf numFmtId="3" fontId="36" fillId="6" borderId="18" xfId="0" applyNumberFormat="1" applyFont="1" applyFill="1" applyBorder="1" applyAlignment="1">
      <alignment horizontal="center" vertical="center" wrapText="1"/>
    </xf>
    <xf numFmtId="0" fontId="16" fillId="3" borderId="18" xfId="0" applyFont="1" applyFill="1" applyBorder="1" applyAlignment="1">
      <alignment horizontal="center" vertical="center" wrapText="1"/>
    </xf>
    <xf numFmtId="0" fontId="16" fillId="16" borderId="18" xfId="0" applyFont="1" applyFill="1" applyBorder="1" applyAlignment="1">
      <alignment horizontal="center" vertical="center" wrapText="1"/>
    </xf>
    <xf numFmtId="3" fontId="5" fillId="6" borderId="18" xfId="0" applyNumberFormat="1" applyFont="1" applyFill="1" applyBorder="1" applyAlignment="1">
      <alignment horizontal="center" vertical="center"/>
    </xf>
    <xf numFmtId="3" fontId="12" fillId="18" borderId="18" xfId="0" applyNumberFormat="1" applyFont="1" applyFill="1" applyBorder="1" applyAlignment="1">
      <alignment horizontal="center" vertical="center"/>
    </xf>
    <xf numFmtId="0" fontId="5" fillId="9" borderId="0" xfId="0" applyFont="1" applyFill="1"/>
    <xf numFmtId="0" fontId="11" fillId="15" borderId="0" xfId="0" applyFont="1" applyFill="1" applyAlignment="1">
      <alignment horizontal="right"/>
    </xf>
    <xf numFmtId="3" fontId="0" fillId="0" borderId="0" xfId="0" applyNumberFormat="1"/>
    <xf numFmtId="0" fontId="5" fillId="17" borderId="0" xfId="0" applyFont="1" applyFill="1" applyAlignment="1">
      <alignment horizontal="center" vertical="center"/>
    </xf>
    <xf numFmtId="0" fontId="14" fillId="16" borderId="91" xfId="0" applyFont="1" applyFill="1" applyBorder="1" applyAlignment="1">
      <alignment horizontal="center" vertical="center" wrapText="1"/>
    </xf>
    <xf numFmtId="3" fontId="62" fillId="16" borderId="84" xfId="0" applyNumberFormat="1" applyFont="1" applyFill="1" applyBorder="1" applyAlignment="1">
      <alignment horizontal="center" vertical="center"/>
    </xf>
    <xf numFmtId="0" fontId="14" fillId="6" borderId="47" xfId="0" applyFont="1" applyFill="1" applyBorder="1" applyAlignment="1">
      <alignment horizontal="center" vertical="center" wrapText="1"/>
    </xf>
    <xf numFmtId="0" fontId="14" fillId="18" borderId="47" xfId="0" applyFont="1" applyFill="1" applyBorder="1" applyAlignment="1">
      <alignment horizontal="center" vertical="center" wrapText="1"/>
    </xf>
    <xf numFmtId="0" fontId="0" fillId="0" borderId="92" xfId="0" applyBorder="1"/>
    <xf numFmtId="0" fontId="46" fillId="26" borderId="87" xfId="0" applyFont="1" applyFill="1" applyBorder="1" applyAlignment="1">
      <alignment horizontal="center" vertical="center" wrapText="1"/>
    </xf>
    <xf numFmtId="10" fontId="13" fillId="16" borderId="88" xfId="0" applyNumberFormat="1" applyFont="1" applyFill="1" applyBorder="1" applyAlignment="1">
      <alignment horizontal="center" vertical="center"/>
    </xf>
    <xf numFmtId="10" fontId="13" fillId="16" borderId="47" xfId="0" applyNumberFormat="1" applyFont="1" applyFill="1" applyBorder="1" applyAlignment="1">
      <alignment horizontal="center" vertical="center"/>
    </xf>
    <xf numFmtId="10" fontId="13" fillId="6" borderId="47" xfId="0" applyNumberFormat="1" applyFont="1" applyFill="1" applyBorder="1" applyAlignment="1">
      <alignment horizontal="center" vertical="center"/>
    </xf>
    <xf numFmtId="10" fontId="13" fillId="6" borderId="90" xfId="0" applyNumberFormat="1" applyFont="1" applyFill="1" applyBorder="1" applyAlignment="1">
      <alignment horizontal="center" vertical="center"/>
    </xf>
    <xf numFmtId="2" fontId="42" fillId="2" borderId="37" xfId="0" applyNumberFormat="1" applyFont="1" applyFill="1" applyBorder="1" applyAlignment="1">
      <alignment horizontal="center" vertical="center"/>
    </xf>
    <xf numFmtId="2" fontId="42" fillId="2" borderId="46" xfId="0" applyNumberFormat="1" applyFont="1" applyFill="1" applyBorder="1" applyAlignment="1">
      <alignment horizontal="center" vertical="center"/>
    </xf>
    <xf numFmtId="2" fontId="42" fillId="2" borderId="36" xfId="0" applyNumberFormat="1" applyFont="1" applyFill="1" applyBorder="1" applyAlignment="1">
      <alignment horizontal="center" vertical="center"/>
    </xf>
    <xf numFmtId="3" fontId="49" fillId="2" borderId="35" xfId="0" applyNumberFormat="1" applyFont="1" applyFill="1" applyBorder="1" applyAlignment="1">
      <alignment horizontal="center" vertical="center"/>
    </xf>
    <xf numFmtId="1" fontId="49" fillId="2" borderId="47" xfId="0" applyNumberFormat="1" applyFont="1" applyFill="1" applyBorder="1" applyAlignment="1">
      <alignment horizontal="center" vertical="center"/>
    </xf>
    <xf numFmtId="0" fontId="42" fillId="16" borderId="87" xfId="0" applyFont="1" applyFill="1" applyBorder="1" applyAlignment="1">
      <alignment horizontal="center" vertical="center"/>
    </xf>
    <xf numFmtId="3" fontId="5" fillId="5" borderId="2" xfId="0" applyNumberFormat="1" applyFont="1" applyFill="1" applyBorder="1" applyAlignment="1">
      <alignment horizontal="left"/>
    </xf>
    <xf numFmtId="0" fontId="5" fillId="5" borderId="4" xfId="0" applyFont="1" applyFill="1" applyBorder="1"/>
    <xf numFmtId="0" fontId="5" fillId="2" borderId="47" xfId="0" applyFont="1" applyFill="1" applyBorder="1" applyAlignment="1">
      <alignment horizontal="center" vertical="center"/>
    </xf>
    <xf numFmtId="3" fontId="5" fillId="2" borderId="47" xfId="0" applyNumberFormat="1" applyFont="1" applyFill="1" applyBorder="1" applyAlignment="1">
      <alignment horizontal="center" vertical="center"/>
    </xf>
    <xf numFmtId="0" fontId="5" fillId="2" borderId="47" xfId="0" applyFont="1" applyFill="1" applyBorder="1" applyAlignment="1">
      <alignment horizontal="center" vertical="center" wrapText="1"/>
    </xf>
    <xf numFmtId="2" fontId="10" fillId="15" borderId="46" xfId="0" applyNumberFormat="1" applyFont="1" applyFill="1" applyBorder="1" applyAlignment="1">
      <alignment vertical="center" wrapText="1"/>
    </xf>
    <xf numFmtId="3" fontId="7" fillId="6" borderId="2" xfId="0" applyNumberFormat="1" applyFont="1" applyFill="1" applyBorder="1" applyAlignment="1">
      <alignment horizontal="center" vertical="center"/>
    </xf>
    <xf numFmtId="3" fontId="4" fillId="6" borderId="2" xfId="0" applyNumberFormat="1" applyFont="1" applyFill="1" applyBorder="1" applyAlignment="1">
      <alignment horizontal="center" vertical="center"/>
    </xf>
    <xf numFmtId="0" fontId="5" fillId="6" borderId="4" xfId="0" applyFont="1" applyFill="1" applyBorder="1"/>
    <xf numFmtId="0" fontId="12" fillId="6" borderId="4" xfId="0" applyFont="1" applyFill="1" applyBorder="1" applyAlignment="1">
      <alignment horizontal="center" wrapText="1"/>
    </xf>
    <xf numFmtId="0" fontId="42" fillId="6" borderId="57" xfId="0" applyFont="1" applyFill="1" applyBorder="1" applyAlignment="1">
      <alignment horizontal="center" vertical="center"/>
    </xf>
    <xf numFmtId="0" fontId="5" fillId="17" borderId="59" xfId="0" applyFont="1" applyFill="1" applyBorder="1" applyAlignment="1">
      <alignment horizontal="center" vertical="center"/>
    </xf>
    <xf numFmtId="0" fontId="5" fillId="17" borderId="101" xfId="0" applyFont="1" applyFill="1" applyBorder="1" applyAlignment="1">
      <alignment horizontal="center" vertical="center"/>
    </xf>
    <xf numFmtId="0" fontId="5" fillId="17" borderId="36" xfId="0" applyFont="1" applyFill="1" applyBorder="1" applyAlignment="1">
      <alignment horizontal="center" vertical="center"/>
    </xf>
    <xf numFmtId="3" fontId="22" fillId="19" borderId="2" xfId="0" applyNumberFormat="1" applyFont="1" applyFill="1" applyBorder="1" applyAlignment="1">
      <alignment horizontal="center" vertical="center"/>
    </xf>
    <xf numFmtId="3" fontId="22" fillId="19" borderId="6" xfId="0" applyNumberFormat="1" applyFont="1" applyFill="1" applyBorder="1" applyAlignment="1">
      <alignment horizontal="center" vertical="center"/>
    </xf>
    <xf numFmtId="0" fontId="13" fillId="2" borderId="11" xfId="0" applyFont="1" applyFill="1" applyBorder="1" applyAlignment="1">
      <alignment horizontal="center" vertical="center"/>
    </xf>
    <xf numFmtId="0" fontId="13" fillId="2" borderId="102" xfId="0" applyFont="1" applyFill="1" applyBorder="1" applyAlignment="1">
      <alignment horizontal="center" vertical="center"/>
    </xf>
    <xf numFmtId="3" fontId="52" fillId="17" borderId="18" xfId="0" applyNumberFormat="1" applyFont="1" applyFill="1" applyBorder="1" applyAlignment="1">
      <alignment horizontal="center" vertical="center"/>
    </xf>
    <xf numFmtId="0" fontId="67" fillId="15" borderId="47" xfId="0" applyFont="1" applyFill="1" applyBorder="1" applyAlignment="1">
      <alignment horizontal="center" vertical="center" wrapText="1"/>
    </xf>
    <xf numFmtId="0" fontId="67" fillId="15" borderId="52" xfId="0" applyFont="1" applyFill="1" applyBorder="1" applyAlignment="1">
      <alignment horizontal="center" vertical="center" wrapText="1"/>
    </xf>
    <xf numFmtId="0" fontId="39" fillId="15" borderId="47" xfId="0" applyFont="1" applyFill="1" applyBorder="1" applyAlignment="1">
      <alignment horizontal="center" vertical="center" wrapText="1"/>
    </xf>
    <xf numFmtId="0" fontId="40" fillId="15" borderId="47" xfId="0" applyFont="1" applyFill="1" applyBorder="1" applyAlignment="1">
      <alignment horizontal="center" vertical="center" wrapText="1"/>
    </xf>
    <xf numFmtId="0" fontId="39" fillId="15" borderId="52" xfId="0" applyFont="1" applyFill="1" applyBorder="1" applyAlignment="1">
      <alignment horizontal="center" vertical="center" wrapText="1"/>
    </xf>
    <xf numFmtId="10" fontId="18" fillId="3" borderId="47" xfId="0" applyNumberFormat="1" applyFont="1" applyFill="1" applyBorder="1" applyAlignment="1">
      <alignment horizontal="center" vertical="center"/>
    </xf>
    <xf numFmtId="0" fontId="63" fillId="25" borderId="54" xfId="0" quotePrefix="1" applyFont="1" applyFill="1" applyBorder="1" applyAlignment="1">
      <alignment vertical="center"/>
    </xf>
    <xf numFmtId="0" fontId="63" fillId="25" borderId="54" xfId="0" applyFont="1" applyFill="1" applyBorder="1" applyAlignment="1">
      <alignment vertical="center"/>
    </xf>
    <xf numFmtId="3" fontId="66" fillId="16" borderId="88" xfId="0" applyNumberFormat="1" applyFont="1" applyFill="1" applyBorder="1" applyAlignment="1">
      <alignment horizontal="center" vertical="center"/>
    </xf>
    <xf numFmtId="3" fontId="66" fillId="6" borderId="47" xfId="0" applyNumberFormat="1" applyFont="1" applyFill="1" applyBorder="1" applyAlignment="1">
      <alignment horizontal="center" vertical="center"/>
    </xf>
    <xf numFmtId="3" fontId="45" fillId="3" borderId="87" xfId="0" applyNumberFormat="1" applyFont="1" applyFill="1" applyBorder="1" applyAlignment="1">
      <alignment horizontal="center" vertical="center"/>
    </xf>
    <xf numFmtId="3" fontId="66" fillId="16" borderId="47" xfId="0" applyNumberFormat="1" applyFont="1" applyFill="1" applyBorder="1" applyAlignment="1">
      <alignment horizontal="center" vertical="center"/>
    </xf>
    <xf numFmtId="3" fontId="66" fillId="6" borderId="90" xfId="0" applyNumberFormat="1" applyFont="1" applyFill="1" applyBorder="1" applyAlignment="1">
      <alignment horizontal="center" vertical="center"/>
    </xf>
    <xf numFmtId="0" fontId="66" fillId="15" borderId="47" xfId="0" applyFont="1" applyFill="1" applyBorder="1" applyAlignment="1">
      <alignment horizontal="center" vertical="center" wrapText="1"/>
    </xf>
    <xf numFmtId="1" fontId="66" fillId="16" borderId="84" xfId="0" applyNumberFormat="1" applyFont="1" applyFill="1" applyBorder="1" applyAlignment="1">
      <alignment horizontal="center" vertical="center"/>
    </xf>
    <xf numFmtId="1" fontId="66" fillId="6" borderId="57" xfId="0" applyNumberFormat="1" applyFont="1" applyFill="1" applyBorder="1" applyAlignment="1">
      <alignment horizontal="center" vertical="center"/>
    </xf>
    <xf numFmtId="1" fontId="66" fillId="16" borderId="53" xfId="0" applyNumberFormat="1" applyFont="1" applyFill="1" applyBorder="1" applyAlignment="1">
      <alignment horizontal="center" vertical="center"/>
    </xf>
    <xf numFmtId="1" fontId="66" fillId="6" borderId="84" xfId="0" applyNumberFormat="1" applyFont="1" applyFill="1" applyBorder="1" applyAlignment="1">
      <alignment horizontal="center" vertical="center"/>
    </xf>
    <xf numFmtId="0" fontId="46" fillId="26" borderId="57" xfId="0" applyFont="1" applyFill="1" applyBorder="1" applyAlignment="1">
      <alignment horizontal="center" vertical="center" wrapText="1"/>
    </xf>
    <xf numFmtId="3" fontId="39" fillId="16" borderId="84" xfId="0" applyNumberFormat="1" applyFont="1" applyFill="1" applyBorder="1" applyAlignment="1">
      <alignment horizontal="center" vertical="center"/>
    </xf>
    <xf numFmtId="3" fontId="39" fillId="6" borderId="53" xfId="0" applyNumberFormat="1" applyFont="1" applyFill="1" applyBorder="1" applyAlignment="1">
      <alignment horizontal="center" vertical="center"/>
    </xf>
    <xf numFmtId="1" fontId="66" fillId="16" borderId="58" xfId="0" applyNumberFormat="1" applyFont="1" applyFill="1" applyBorder="1" applyAlignment="1">
      <alignment horizontal="center" vertical="center"/>
    </xf>
    <xf numFmtId="1" fontId="66" fillId="6" borderId="85" xfId="0" applyNumberFormat="1" applyFont="1" applyFill="1" applyBorder="1" applyAlignment="1">
      <alignment horizontal="center" vertical="center"/>
    </xf>
    <xf numFmtId="1" fontId="66" fillId="6" borderId="58" xfId="0" applyNumberFormat="1" applyFont="1" applyFill="1" applyBorder="1" applyAlignment="1">
      <alignment horizontal="center" vertical="center"/>
    </xf>
    <xf numFmtId="0" fontId="14" fillId="16" borderId="58" xfId="0" applyFont="1" applyFill="1" applyBorder="1" applyAlignment="1">
      <alignment horizontal="center" vertical="center" wrapText="1"/>
    </xf>
    <xf numFmtId="3" fontId="61" fillId="21" borderId="47" xfId="0" applyNumberFormat="1" applyFont="1" applyFill="1" applyBorder="1" applyAlignment="1">
      <alignment horizontal="center" vertical="center"/>
    </xf>
    <xf numFmtId="3" fontId="56" fillId="21" borderId="86" xfId="0" applyNumberFormat="1" applyFont="1" applyFill="1" applyBorder="1" applyAlignment="1">
      <alignment horizontal="center" vertical="center"/>
    </xf>
    <xf numFmtId="1" fontId="62" fillId="2" borderId="47" xfId="0" applyNumberFormat="1" applyFont="1" applyFill="1" applyBorder="1" applyAlignment="1">
      <alignment horizontal="center" vertical="center"/>
    </xf>
    <xf numFmtId="2" fontId="5" fillId="3" borderId="9" xfId="0" applyNumberFormat="1" applyFont="1" applyFill="1" applyBorder="1"/>
    <xf numFmtId="2" fontId="5" fillId="3" borderId="73" xfId="0" applyNumberFormat="1" applyFont="1" applyFill="1" applyBorder="1" applyAlignment="1">
      <alignment horizontal="center" vertical="center"/>
    </xf>
    <xf numFmtId="3" fontId="5" fillId="17" borderId="37" xfId="0" applyNumberFormat="1" applyFont="1" applyFill="1" applyBorder="1" applyAlignment="1">
      <alignment horizontal="center" vertical="center"/>
    </xf>
    <xf numFmtId="3" fontId="16" fillId="19" borderId="18" xfId="0" applyNumberFormat="1" applyFont="1" applyFill="1" applyBorder="1" applyAlignment="1">
      <alignment horizontal="center" vertical="center"/>
    </xf>
    <xf numFmtId="1" fontId="66" fillId="3" borderId="57" xfId="0" applyNumberFormat="1" applyFont="1" applyFill="1" applyBorder="1" applyAlignment="1">
      <alignment horizontal="center" vertical="center"/>
    </xf>
    <xf numFmtId="0" fontId="42" fillId="3" borderId="32" xfId="0" applyFont="1" applyFill="1" applyBorder="1" applyAlignment="1">
      <alignment horizontal="center" vertical="center"/>
    </xf>
    <xf numFmtId="3" fontId="40" fillId="6" borderId="84" xfId="0" applyNumberFormat="1" applyFont="1" applyFill="1" applyBorder="1" applyAlignment="1">
      <alignment horizontal="center" vertical="center"/>
    </xf>
    <xf numFmtId="17" fontId="0" fillId="0" borderId="18" xfId="0" applyNumberFormat="1" applyBorder="1" applyAlignment="1">
      <alignment horizontal="center" vertical="center"/>
    </xf>
    <xf numFmtId="0" fontId="0" fillId="0" borderId="18" xfId="0" applyBorder="1" applyAlignment="1">
      <alignment horizontal="center" vertical="center"/>
    </xf>
    <xf numFmtId="3" fontId="3" fillId="2" borderId="110" xfId="0" applyNumberFormat="1" applyFont="1" applyFill="1" applyBorder="1" applyAlignment="1">
      <alignment horizontal="center" vertical="center"/>
    </xf>
    <xf numFmtId="17" fontId="37" fillId="2" borderId="111" xfId="0" applyNumberFormat="1" applyFont="1" applyFill="1" applyBorder="1" applyAlignment="1">
      <alignment horizontal="center" vertical="center"/>
    </xf>
    <xf numFmtId="3" fontId="0" fillId="2" borderId="18" xfId="0" applyNumberFormat="1" applyFill="1" applyBorder="1" applyAlignment="1">
      <alignment horizontal="center" vertical="center"/>
    </xf>
    <xf numFmtId="3" fontId="3" fillId="6" borderId="110" xfId="0" applyNumberFormat="1" applyFont="1" applyFill="1" applyBorder="1" applyAlignment="1">
      <alignment horizontal="center" vertical="center"/>
    </xf>
    <xf numFmtId="17" fontId="37" fillId="6" borderId="111" xfId="0" applyNumberFormat="1" applyFont="1" applyFill="1" applyBorder="1" applyAlignment="1">
      <alignment horizontal="center" vertical="center"/>
    </xf>
    <xf numFmtId="3" fontId="0" fillId="6" borderId="18" xfId="0" applyNumberFormat="1" applyFill="1" applyBorder="1" applyAlignment="1">
      <alignment horizontal="center" vertical="center"/>
    </xf>
    <xf numFmtId="3" fontId="3" fillId="29" borderId="110" xfId="0" applyNumberFormat="1" applyFont="1" applyFill="1" applyBorder="1" applyAlignment="1">
      <alignment horizontal="center" vertical="center"/>
    </xf>
    <xf numFmtId="17" fontId="37" fillId="29" borderId="111" xfId="0" applyNumberFormat="1" applyFont="1" applyFill="1" applyBorder="1" applyAlignment="1">
      <alignment horizontal="center" vertical="center"/>
    </xf>
    <xf numFmtId="3" fontId="0" fillId="29" borderId="18" xfId="0" applyNumberFormat="1" applyFill="1" applyBorder="1" applyAlignment="1">
      <alignment horizontal="center" vertical="center"/>
    </xf>
    <xf numFmtId="3" fontId="3" fillId="15" borderId="110" xfId="0" applyNumberFormat="1" applyFont="1" applyFill="1" applyBorder="1" applyAlignment="1">
      <alignment horizontal="center" vertical="center"/>
    </xf>
    <xf numFmtId="17" fontId="37" fillId="15" borderId="111" xfId="0" applyNumberFormat="1" applyFont="1" applyFill="1" applyBorder="1" applyAlignment="1">
      <alignment horizontal="center" vertical="center"/>
    </xf>
    <xf numFmtId="3" fontId="0" fillId="15" borderId="18" xfId="0" applyNumberFormat="1" applyFill="1" applyBorder="1" applyAlignment="1">
      <alignment horizontal="center" vertical="center"/>
    </xf>
    <xf numFmtId="3" fontId="3" fillId="11" borderId="110" xfId="0" applyNumberFormat="1" applyFont="1" applyFill="1" applyBorder="1" applyAlignment="1">
      <alignment horizontal="center" vertical="center"/>
    </xf>
    <xf numFmtId="17" fontId="37" fillId="11" borderId="111" xfId="0" applyNumberFormat="1" applyFont="1" applyFill="1" applyBorder="1" applyAlignment="1">
      <alignment horizontal="center" vertical="center"/>
    </xf>
    <xf numFmtId="3" fontId="0" fillId="11" borderId="101" xfId="0" applyNumberFormat="1" applyFill="1" applyBorder="1" applyAlignment="1">
      <alignment horizontal="center" vertical="center"/>
    </xf>
    <xf numFmtId="3" fontId="0" fillId="11" borderId="18" xfId="0" applyNumberFormat="1" applyFill="1" applyBorder="1" applyAlignment="1">
      <alignment horizontal="center" vertical="center"/>
    </xf>
    <xf numFmtId="3" fontId="3" fillId="10" borderId="110" xfId="0" applyNumberFormat="1" applyFont="1" applyFill="1" applyBorder="1" applyAlignment="1">
      <alignment horizontal="center" vertical="center"/>
    </xf>
    <xf numFmtId="17" fontId="37" fillId="10" borderId="111" xfId="0" applyNumberFormat="1" applyFont="1" applyFill="1" applyBorder="1" applyAlignment="1">
      <alignment horizontal="center" vertical="center"/>
    </xf>
    <xf numFmtId="3" fontId="0" fillId="10" borderId="101" xfId="0" applyNumberFormat="1" applyFill="1" applyBorder="1" applyAlignment="1">
      <alignment horizontal="center" vertical="center"/>
    </xf>
    <xf numFmtId="3" fontId="73" fillId="10" borderId="18" xfId="0" applyNumberFormat="1" applyFont="1" applyFill="1" applyBorder="1" applyAlignment="1">
      <alignment horizontal="center" vertical="center"/>
    </xf>
    <xf numFmtId="3" fontId="0" fillId="10" borderId="18" xfId="0" applyNumberFormat="1" applyFill="1" applyBorder="1" applyAlignment="1">
      <alignment horizontal="center" vertical="center"/>
    </xf>
    <xf numFmtId="3" fontId="3" fillId="19" borderId="110" xfId="0" applyNumberFormat="1" applyFont="1" applyFill="1" applyBorder="1" applyAlignment="1">
      <alignment horizontal="center" vertical="center"/>
    </xf>
    <xf numFmtId="17" fontId="37" fillId="19" borderId="111" xfId="0" applyNumberFormat="1" applyFont="1" applyFill="1" applyBorder="1" applyAlignment="1">
      <alignment horizontal="center" vertical="center"/>
    </xf>
    <xf numFmtId="3" fontId="0" fillId="19" borderId="18" xfId="0" applyNumberFormat="1" applyFill="1" applyBorder="1" applyAlignment="1">
      <alignment horizontal="center" vertical="center"/>
    </xf>
    <xf numFmtId="0" fontId="56" fillId="16" borderId="90" xfId="0" applyFont="1" applyFill="1" applyBorder="1" applyAlignment="1">
      <alignment horizontal="center" vertical="center" wrapText="1"/>
    </xf>
    <xf numFmtId="3" fontId="61" fillId="16" borderId="84" xfId="0" applyNumberFormat="1" applyFont="1" applyFill="1" applyBorder="1" applyAlignment="1">
      <alignment horizontal="center" vertical="center"/>
    </xf>
    <xf numFmtId="3" fontId="56" fillId="16" borderId="84" xfId="0" applyNumberFormat="1" applyFont="1" applyFill="1" applyBorder="1" applyAlignment="1">
      <alignment horizontal="center" vertical="center"/>
    </xf>
    <xf numFmtId="0" fontId="56" fillId="15" borderId="112" xfId="0" applyFont="1" applyFill="1" applyBorder="1" applyAlignment="1">
      <alignment horizontal="center" vertical="center" wrapText="1"/>
    </xf>
    <xf numFmtId="0" fontId="56" fillId="15" borderId="73" xfId="0" applyFont="1" applyFill="1" applyBorder="1" applyAlignment="1">
      <alignment horizontal="center" vertical="center" wrapText="1"/>
    </xf>
    <xf numFmtId="3" fontId="56" fillId="3" borderId="86" xfId="0" applyNumberFormat="1" applyFont="1" applyFill="1" applyBorder="1" applyAlignment="1">
      <alignment horizontal="center" vertical="center"/>
    </xf>
    <xf numFmtId="0" fontId="75" fillId="0" borderId="0" xfId="0" applyFont="1" applyAlignment="1">
      <alignment horizontal="center" vertical="center"/>
    </xf>
    <xf numFmtId="0" fontId="5" fillId="15" borderId="0" xfId="0" applyFont="1" applyFill="1" applyAlignment="1">
      <alignment horizontal="center" vertical="center"/>
    </xf>
    <xf numFmtId="3" fontId="5" fillId="15" borderId="1" xfId="0" applyNumberFormat="1" applyFont="1" applyFill="1" applyBorder="1" applyAlignment="1">
      <alignment horizontal="center" vertical="center"/>
    </xf>
    <xf numFmtId="3" fontId="5" fillId="15" borderId="73" xfId="0" applyNumberFormat="1" applyFont="1" applyFill="1" applyBorder="1" applyAlignment="1">
      <alignment horizontal="center" vertical="center"/>
    </xf>
    <xf numFmtId="3" fontId="5" fillId="17" borderId="18" xfId="0" applyNumberFormat="1" applyFont="1" applyFill="1" applyBorder="1" applyAlignment="1">
      <alignment horizontal="center" vertical="center"/>
    </xf>
    <xf numFmtId="3" fontId="5" fillId="15" borderId="0" xfId="0" applyNumberFormat="1" applyFont="1" applyFill="1" applyAlignment="1">
      <alignment horizontal="center" vertical="center"/>
    </xf>
    <xf numFmtId="3" fontId="5" fillId="15" borderId="18" xfId="0" applyNumberFormat="1" applyFont="1" applyFill="1" applyBorder="1" applyAlignment="1">
      <alignment horizontal="center" vertical="center"/>
    </xf>
    <xf numFmtId="3" fontId="8" fillId="15" borderId="0" xfId="0" applyNumberFormat="1" applyFont="1" applyFill="1" applyAlignment="1">
      <alignment horizontal="center" vertical="center"/>
    </xf>
    <xf numFmtId="3" fontId="64" fillId="15" borderId="0" xfId="0" applyNumberFormat="1" applyFont="1" applyFill="1" applyAlignment="1">
      <alignment horizontal="center" vertical="center"/>
    </xf>
    <xf numFmtId="167" fontId="39" fillId="16" borderId="18" xfId="0" applyNumberFormat="1" applyFont="1" applyFill="1" applyBorder="1" applyAlignment="1">
      <alignment horizontal="center" vertical="center"/>
    </xf>
    <xf numFmtId="0" fontId="5" fillId="5" borderId="3" xfId="0" applyFont="1" applyFill="1" applyBorder="1"/>
    <xf numFmtId="3" fontId="40" fillId="16" borderId="84" xfId="0" applyNumberFormat="1" applyFont="1" applyFill="1" applyBorder="1" applyAlignment="1">
      <alignment horizontal="center" vertical="center"/>
    </xf>
    <xf numFmtId="3" fontId="76" fillId="16" borderId="18" xfId="0" applyNumberFormat="1" applyFont="1" applyFill="1" applyBorder="1" applyAlignment="1">
      <alignment horizontal="center" vertical="center"/>
    </xf>
    <xf numFmtId="3" fontId="76" fillId="6" borderId="18" xfId="0" applyNumberFormat="1" applyFont="1" applyFill="1" applyBorder="1" applyAlignment="1">
      <alignment horizontal="center" vertical="center"/>
    </xf>
    <xf numFmtId="0" fontId="5" fillId="5" borderId="2" xfId="0" applyFont="1" applyFill="1" applyBorder="1"/>
    <xf numFmtId="0" fontId="77" fillId="0" borderId="0" xfId="0" applyFont="1"/>
    <xf numFmtId="168" fontId="5" fillId="19" borderId="47" xfId="0" applyNumberFormat="1" applyFont="1" applyFill="1" applyBorder="1" applyAlignment="1">
      <alignment horizontal="center" vertical="center"/>
    </xf>
    <xf numFmtId="3" fontId="17" fillId="0" borderId="0" xfId="0" applyNumberFormat="1" applyFont="1"/>
    <xf numFmtId="3" fontId="56" fillId="3" borderId="113" xfId="0" applyNumberFormat="1" applyFont="1" applyFill="1" applyBorder="1" applyAlignment="1">
      <alignment horizontal="center" vertical="center"/>
    </xf>
    <xf numFmtId="3" fontId="25" fillId="3" borderId="86" xfId="0" applyNumberFormat="1" applyFont="1" applyFill="1" applyBorder="1" applyAlignment="1">
      <alignment horizontal="center" vertical="center"/>
    </xf>
    <xf numFmtId="3" fontId="30" fillId="15" borderId="1" xfId="0" applyNumberFormat="1" applyFont="1" applyFill="1" applyBorder="1" applyAlignment="1">
      <alignment horizontal="center" vertical="center"/>
    </xf>
    <xf numFmtId="3" fontId="55" fillId="0" borderId="0" xfId="0" applyNumberFormat="1" applyFont="1"/>
    <xf numFmtId="9" fontId="5" fillId="17" borderId="0" xfId="0" applyNumberFormat="1" applyFont="1" applyFill="1" applyAlignment="1">
      <alignment horizontal="center" vertical="center"/>
    </xf>
    <xf numFmtId="3" fontId="5" fillId="17" borderId="0" xfId="0" applyNumberFormat="1" applyFont="1" applyFill="1" applyAlignment="1">
      <alignment horizontal="center" vertical="center"/>
    </xf>
    <xf numFmtId="0" fontId="5" fillId="21" borderId="0" xfId="0" applyFont="1" applyFill="1" applyAlignment="1">
      <alignment horizontal="center" vertical="center"/>
    </xf>
    <xf numFmtId="3" fontId="5" fillId="21" borderId="0" xfId="0" applyNumberFormat="1" applyFont="1" applyFill="1" applyAlignment="1">
      <alignment horizontal="center" vertical="center"/>
    </xf>
    <xf numFmtId="0" fontId="5" fillId="26" borderId="0" xfId="0" applyFont="1" applyFill="1" applyAlignment="1">
      <alignment horizontal="center" vertical="center"/>
    </xf>
    <xf numFmtId="3" fontId="5" fillId="26" borderId="0" xfId="0" applyNumberFormat="1" applyFont="1" applyFill="1" applyAlignment="1">
      <alignment horizontal="center" vertical="center"/>
    </xf>
    <xf numFmtId="3" fontId="5" fillId="10" borderId="0" xfId="0" applyNumberFormat="1" applyFont="1" applyFill="1" applyAlignment="1">
      <alignment horizontal="center" vertical="center"/>
    </xf>
    <xf numFmtId="0" fontId="5" fillId="10" borderId="0" xfId="0" applyFont="1" applyFill="1" applyAlignment="1">
      <alignment horizontal="center" vertical="center"/>
    </xf>
    <xf numFmtId="3" fontId="5" fillId="19" borderId="0" xfId="0" applyNumberFormat="1" applyFont="1" applyFill="1" applyAlignment="1">
      <alignment horizontal="center" vertical="center"/>
    </xf>
    <xf numFmtId="0" fontId="5" fillId="19" borderId="0" xfId="0" applyFont="1" applyFill="1" applyAlignment="1">
      <alignment horizontal="center" vertical="center"/>
    </xf>
    <xf numFmtId="3" fontId="64" fillId="15" borderId="0" xfId="0" applyNumberFormat="1" applyFont="1" applyFill="1" applyAlignment="1">
      <alignment vertical="center"/>
    </xf>
    <xf numFmtId="9" fontId="5" fillId="17" borderId="0" xfId="0" applyNumberFormat="1" applyFont="1" applyFill="1" applyAlignment="1">
      <alignment horizontal="right" vertical="center"/>
    </xf>
    <xf numFmtId="0" fontId="5" fillId="21" borderId="0" xfId="0" applyFont="1" applyFill="1" applyAlignment="1">
      <alignment horizontal="right" vertical="center"/>
    </xf>
    <xf numFmtId="0" fontId="5" fillId="2" borderId="1" xfId="0" applyFont="1" applyFill="1" applyBorder="1" applyAlignment="1">
      <alignment horizontal="center" vertical="center"/>
    </xf>
    <xf numFmtId="3" fontId="5" fillId="2" borderId="4" xfId="0" applyNumberFormat="1" applyFont="1" applyFill="1" applyBorder="1" applyAlignment="1">
      <alignment horizontal="center" vertical="center"/>
    </xf>
    <xf numFmtId="0" fontId="5" fillId="0" borderId="14" xfId="0" applyFont="1" applyBorder="1"/>
    <xf numFmtId="0" fontId="5" fillId="15" borderId="18" xfId="0" applyFont="1" applyFill="1" applyBorder="1" applyAlignment="1">
      <alignment horizontal="right" vertical="center"/>
    </xf>
    <xf numFmtId="3" fontId="64" fillId="15" borderId="18" xfId="0" applyNumberFormat="1" applyFont="1" applyFill="1" applyBorder="1" applyAlignment="1">
      <alignment horizontal="center" vertical="center"/>
    </xf>
    <xf numFmtId="0" fontId="12" fillId="15" borderId="18" xfId="0" applyFont="1" applyFill="1" applyBorder="1" applyAlignment="1">
      <alignment horizontal="right" vertical="center"/>
    </xf>
    <xf numFmtId="166" fontId="3" fillId="10" borderId="9" xfId="0" applyNumberFormat="1" applyFont="1" applyFill="1" applyBorder="1" applyAlignment="1">
      <alignment horizontal="center" vertical="center"/>
    </xf>
    <xf numFmtId="3" fontId="10" fillId="13" borderId="2" xfId="0" applyNumberFormat="1" applyFont="1" applyFill="1" applyBorder="1" applyAlignment="1">
      <alignment horizontal="left"/>
    </xf>
    <xf numFmtId="3" fontId="10" fillId="13" borderId="18" xfId="0" applyNumberFormat="1" applyFont="1" applyFill="1" applyBorder="1" applyAlignment="1">
      <alignment horizontal="left"/>
    </xf>
    <xf numFmtId="3" fontId="10" fillId="15" borderId="18" xfId="0" applyNumberFormat="1" applyFont="1" applyFill="1" applyBorder="1" applyAlignment="1">
      <alignment horizontal="left"/>
    </xf>
    <xf numFmtId="3" fontId="5" fillId="4" borderId="1" xfId="0" applyNumberFormat="1" applyFont="1" applyFill="1" applyBorder="1" applyAlignment="1">
      <alignment horizontal="center"/>
    </xf>
    <xf numFmtId="3" fontId="5" fillId="4" borderId="2" xfId="0" applyNumberFormat="1" applyFont="1" applyFill="1" applyBorder="1" applyAlignment="1">
      <alignment horizontal="center"/>
    </xf>
    <xf numFmtId="0" fontId="79" fillId="0" borderId="0" xfId="0" applyFont="1"/>
    <xf numFmtId="0" fontId="38" fillId="0" borderId="0" xfId="0" applyFont="1" applyAlignment="1">
      <alignment horizontal="center" vertical="center"/>
    </xf>
    <xf numFmtId="0" fontId="56" fillId="16" borderId="1" xfId="0" applyFont="1" applyFill="1" applyBorder="1" applyAlignment="1">
      <alignment horizontal="center" vertical="center" wrapText="1"/>
    </xf>
    <xf numFmtId="3" fontId="61" fillId="16" borderId="52" xfId="0" applyNumberFormat="1" applyFont="1" applyFill="1" applyBorder="1" applyAlignment="1">
      <alignment horizontal="center" vertical="center"/>
    </xf>
    <xf numFmtId="3" fontId="56" fillId="3" borderId="2" xfId="0" applyNumberFormat="1" applyFont="1" applyFill="1" applyBorder="1" applyAlignment="1">
      <alignment horizontal="center" vertical="center"/>
    </xf>
    <xf numFmtId="3" fontId="56" fillId="3" borderId="4" xfId="0" applyNumberFormat="1" applyFont="1" applyFill="1" applyBorder="1" applyAlignment="1">
      <alignment vertical="center"/>
    </xf>
    <xf numFmtId="3" fontId="56" fillId="3" borderId="53" xfId="0" applyNumberFormat="1" applyFont="1" applyFill="1" applyBorder="1" applyAlignment="1">
      <alignment horizontal="center" vertical="center"/>
    </xf>
    <xf numFmtId="3" fontId="56" fillId="3" borderId="54" xfId="0" applyNumberFormat="1" applyFont="1" applyFill="1" applyBorder="1" applyAlignment="1">
      <alignment vertical="center"/>
    </xf>
    <xf numFmtId="0" fontId="5" fillId="8" borderId="4" xfId="0" applyFont="1" applyFill="1" applyBorder="1" applyAlignment="1">
      <alignment horizontal="left" vertical="center"/>
    </xf>
    <xf numFmtId="0" fontId="5" fillId="15" borderId="18" xfId="0" applyFont="1" applyFill="1" applyBorder="1" applyAlignment="1">
      <alignment horizontal="center" vertical="center"/>
    </xf>
    <xf numFmtId="3" fontId="5" fillId="15" borderId="7" xfId="0" applyNumberFormat="1" applyFont="1" applyFill="1" applyBorder="1" applyAlignment="1">
      <alignment horizontal="center" vertical="center"/>
    </xf>
    <xf numFmtId="0" fontId="16" fillId="5" borderId="4" xfId="0" applyFont="1" applyFill="1" applyBorder="1" applyAlignment="1">
      <alignment horizontal="center"/>
    </xf>
    <xf numFmtId="0" fontId="5" fillId="2" borderId="90" xfId="0" applyFont="1" applyFill="1" applyBorder="1" applyAlignment="1">
      <alignment horizontal="center" vertical="center" wrapText="1"/>
    </xf>
    <xf numFmtId="0" fontId="5" fillId="30" borderId="121" xfId="0" applyFont="1" applyFill="1" applyBorder="1" applyAlignment="1">
      <alignment horizontal="center" vertical="center" wrapText="1"/>
    </xf>
    <xf numFmtId="0" fontId="5" fillId="30" borderId="0" xfId="0" applyFont="1" applyFill="1" applyAlignment="1">
      <alignment horizontal="center" vertical="center" wrapText="1"/>
    </xf>
    <xf numFmtId="0" fontId="5" fillId="17" borderId="18" xfId="0" applyFont="1" applyFill="1" applyBorder="1" applyAlignment="1">
      <alignment horizontal="center" vertical="center" wrapText="1"/>
    </xf>
    <xf numFmtId="3" fontId="5" fillId="5" borderId="2" xfId="0" applyNumberFormat="1" applyFont="1" applyFill="1" applyBorder="1" applyAlignment="1">
      <alignment horizontal="center" vertical="center"/>
    </xf>
    <xf numFmtId="0" fontId="5" fillId="9" borderId="3" xfId="0" applyFont="1" applyFill="1" applyBorder="1"/>
    <xf numFmtId="0" fontId="5" fillId="15" borderId="119" xfId="0" applyFont="1" applyFill="1" applyBorder="1" applyAlignment="1">
      <alignment horizontal="center"/>
    </xf>
    <xf numFmtId="0" fontId="5" fillId="15" borderId="3" xfId="0" applyFont="1" applyFill="1" applyBorder="1" applyAlignment="1">
      <alignment horizontal="center"/>
    </xf>
    <xf numFmtId="0" fontId="5" fillId="15" borderId="4" xfId="0" applyFont="1" applyFill="1" applyBorder="1" applyAlignment="1">
      <alignment horizontal="center"/>
    </xf>
    <xf numFmtId="1" fontId="16" fillId="15" borderId="40" xfId="0" applyNumberFormat="1" applyFont="1" applyFill="1" applyBorder="1" applyAlignment="1">
      <alignment horizontal="center" vertical="center" wrapText="1"/>
    </xf>
    <xf numFmtId="1" fontId="24" fillId="15" borderId="17" xfId="0" applyNumberFormat="1" applyFont="1" applyFill="1" applyBorder="1" applyAlignment="1">
      <alignment horizontal="center" vertical="center" wrapText="1"/>
    </xf>
    <xf numFmtId="0" fontId="5" fillId="6" borderId="2" xfId="0" applyFont="1" applyFill="1" applyBorder="1"/>
    <xf numFmtId="0" fontId="12" fillId="6" borderId="2" xfId="0" applyFont="1" applyFill="1" applyBorder="1" applyAlignment="1">
      <alignment horizontal="center" wrapText="1"/>
    </xf>
    <xf numFmtId="0" fontId="24" fillId="15" borderId="3" xfId="0" applyFont="1" applyFill="1" applyBorder="1" applyAlignment="1">
      <alignment vertical="center" wrapText="1"/>
    </xf>
    <xf numFmtId="0" fontId="24" fillId="15" borderId="4" xfId="0" applyFont="1" applyFill="1" applyBorder="1" applyAlignment="1">
      <alignment vertical="center" wrapText="1"/>
    </xf>
    <xf numFmtId="0" fontId="24" fillId="3" borderId="54" xfId="0" applyFont="1" applyFill="1" applyBorder="1" applyAlignment="1">
      <alignment vertical="center" wrapText="1"/>
    </xf>
    <xf numFmtId="0" fontId="24" fillId="3" borderId="51" xfId="0" applyFont="1" applyFill="1" applyBorder="1" applyAlignment="1">
      <alignment vertical="center" wrapText="1"/>
    </xf>
    <xf numFmtId="0" fontId="11" fillId="3" borderId="50" xfId="0" applyFont="1" applyFill="1" applyBorder="1" applyAlignment="1">
      <alignment vertical="center" wrapText="1"/>
    </xf>
    <xf numFmtId="0" fontId="44" fillId="15" borderId="87" xfId="0" applyFont="1" applyFill="1" applyBorder="1" applyAlignment="1">
      <alignment horizontal="center" vertical="center" wrapText="1"/>
    </xf>
    <xf numFmtId="1" fontId="49" fillId="2" borderId="53" xfId="0" applyNumberFormat="1" applyFont="1" applyFill="1" applyBorder="1" applyAlignment="1">
      <alignment horizontal="center" vertical="center"/>
    </xf>
    <xf numFmtId="3" fontId="49" fillId="2" borderId="18" xfId="0" applyNumberFormat="1" applyFont="1" applyFill="1" applyBorder="1" applyAlignment="1">
      <alignment horizontal="center" vertical="center"/>
    </xf>
    <xf numFmtId="4" fontId="6" fillId="8" borderId="73" xfId="0" applyNumberFormat="1" applyFont="1" applyFill="1" applyBorder="1" applyAlignment="1">
      <alignment horizontal="center" vertical="center"/>
    </xf>
    <xf numFmtId="3" fontId="5" fillId="30" borderId="122" xfId="0" applyNumberFormat="1" applyFont="1" applyFill="1" applyBorder="1" applyAlignment="1">
      <alignment horizontal="center" vertical="center"/>
    </xf>
    <xf numFmtId="3" fontId="5" fillId="17" borderId="46" xfId="0" applyNumberFormat="1" applyFont="1" applyFill="1" applyBorder="1" applyAlignment="1">
      <alignment horizontal="center" vertical="center"/>
    </xf>
    <xf numFmtId="0" fontId="41" fillId="15" borderId="86" xfId="0" applyFont="1" applyFill="1" applyBorder="1" applyAlignment="1">
      <alignment horizontal="center" vertical="center" wrapText="1"/>
    </xf>
    <xf numFmtId="0" fontId="45" fillId="15" borderId="115" xfId="0" applyFont="1" applyFill="1" applyBorder="1" applyAlignment="1">
      <alignment horizontal="center" vertical="center"/>
    </xf>
    <xf numFmtId="0" fontId="45" fillId="15" borderId="116" xfId="0" applyFont="1" applyFill="1" applyBorder="1" applyAlignment="1">
      <alignment horizontal="center" vertical="center"/>
    </xf>
    <xf numFmtId="10" fontId="13" fillId="21" borderId="90" xfId="0" applyNumberFormat="1" applyFont="1" applyFill="1" applyBorder="1" applyAlignment="1">
      <alignment horizontal="center" vertical="center"/>
    </xf>
    <xf numFmtId="1" fontId="66" fillId="21" borderId="84" xfId="0" applyNumberFormat="1" applyFont="1" applyFill="1" applyBorder="1" applyAlignment="1">
      <alignment horizontal="center" vertical="center"/>
    </xf>
    <xf numFmtId="0" fontId="55" fillId="4" borderId="47" xfId="0" applyFont="1" applyFill="1" applyBorder="1" applyAlignment="1">
      <alignment horizontal="center" vertical="center" wrapText="1"/>
    </xf>
    <xf numFmtId="0" fontId="55" fillId="4" borderId="84" xfId="0" applyFont="1" applyFill="1" applyBorder="1" applyAlignment="1">
      <alignment horizontal="center" vertical="center" wrapText="1"/>
    </xf>
    <xf numFmtId="0" fontId="57" fillId="15" borderId="52" xfId="0" applyFont="1" applyFill="1" applyBorder="1" applyAlignment="1">
      <alignment horizontal="center" vertical="center" wrapText="1"/>
    </xf>
    <xf numFmtId="3" fontId="61" fillId="16" borderId="57" xfId="0" applyNumberFormat="1" applyFont="1" applyFill="1" applyBorder="1" applyAlignment="1">
      <alignment horizontal="center" vertical="center"/>
    </xf>
    <xf numFmtId="0" fontId="56" fillId="21" borderId="123" xfId="0" applyFont="1" applyFill="1" applyBorder="1" applyAlignment="1">
      <alignment horizontal="center" vertical="center" wrapText="1"/>
    </xf>
    <xf numFmtId="3" fontId="56" fillId="21" borderId="14" xfId="0" applyNumberFormat="1" applyFont="1" applyFill="1" applyBorder="1" applyAlignment="1">
      <alignment vertical="center"/>
    </xf>
    <xf numFmtId="0" fontId="56" fillId="21" borderId="125" xfId="0" applyFont="1" applyFill="1" applyBorder="1" applyAlignment="1">
      <alignment horizontal="center" vertical="center" wrapText="1"/>
    </xf>
    <xf numFmtId="3" fontId="61" fillId="21" borderId="113" xfId="0" applyNumberFormat="1" applyFont="1" applyFill="1" applyBorder="1" applyAlignment="1">
      <alignment horizontal="center" vertical="center"/>
    </xf>
    <xf numFmtId="3" fontId="56" fillId="21" borderId="113" xfId="0" applyNumberFormat="1" applyFont="1" applyFill="1" applyBorder="1" applyAlignment="1">
      <alignment horizontal="center" vertical="center"/>
    </xf>
    <xf numFmtId="3" fontId="56" fillId="21" borderId="126" xfId="0" applyNumberFormat="1" applyFont="1" applyFill="1" applyBorder="1" applyAlignment="1">
      <alignment vertical="center"/>
    </xf>
    <xf numFmtId="0" fontId="58" fillId="16" borderId="127" xfId="0" applyFont="1" applyFill="1" applyBorder="1" applyAlignment="1">
      <alignment horizontal="center" vertical="center" wrapText="1"/>
    </xf>
    <xf numFmtId="3" fontId="61" fillId="16" borderId="128" xfId="0" applyNumberFormat="1" applyFont="1" applyFill="1" applyBorder="1" applyAlignment="1">
      <alignment horizontal="center" vertical="center"/>
    </xf>
    <xf numFmtId="3" fontId="56" fillId="16" borderId="93" xfId="0" applyNumberFormat="1" applyFont="1" applyFill="1" applyBorder="1" applyAlignment="1">
      <alignment horizontal="center" vertical="center"/>
    </xf>
    <xf numFmtId="3" fontId="56" fillId="16" borderId="38" xfId="0" applyNumberFormat="1" applyFont="1" applyFill="1" applyBorder="1" applyAlignment="1">
      <alignment vertical="center"/>
    </xf>
    <xf numFmtId="0" fontId="56" fillId="16" borderId="129" xfId="0" applyFont="1" applyFill="1" applyBorder="1" applyAlignment="1">
      <alignment horizontal="center" vertical="center" wrapText="1"/>
    </xf>
    <xf numFmtId="3" fontId="56" fillId="16" borderId="130" xfId="0" applyNumberFormat="1" applyFont="1" applyFill="1" applyBorder="1" applyAlignment="1">
      <alignment vertical="center"/>
    </xf>
    <xf numFmtId="3" fontId="67" fillId="6" borderId="47" xfId="0" applyNumberFormat="1" applyFont="1" applyFill="1" applyBorder="1" applyAlignment="1">
      <alignment horizontal="center" vertical="center"/>
    </xf>
    <xf numFmtId="3" fontId="67" fillId="6" borderId="52" xfId="0" applyNumberFormat="1" applyFont="1" applyFill="1" applyBorder="1" applyAlignment="1">
      <alignment horizontal="center" vertical="center"/>
    </xf>
    <xf numFmtId="3" fontId="43" fillId="3" borderId="87" xfId="0" applyNumberFormat="1" applyFont="1" applyFill="1" applyBorder="1" applyAlignment="1">
      <alignment horizontal="center" vertical="center"/>
    </xf>
    <xf numFmtId="3" fontId="43" fillId="3" borderId="50" xfId="0" applyNumberFormat="1" applyFont="1" applyFill="1" applyBorder="1" applyAlignment="1">
      <alignment horizontal="center" vertical="center"/>
    </xf>
    <xf numFmtId="3" fontId="67" fillId="16" borderId="47" xfId="0" applyNumberFormat="1" applyFont="1" applyFill="1" applyBorder="1" applyAlignment="1">
      <alignment horizontal="center" vertical="center"/>
    </xf>
    <xf numFmtId="3" fontId="67" fillId="6" borderId="90" xfId="0" applyNumberFormat="1" applyFont="1" applyFill="1" applyBorder="1" applyAlignment="1">
      <alignment horizontal="center" vertical="center"/>
    </xf>
    <xf numFmtId="3" fontId="67" fillId="6" borderId="54" xfId="0" applyNumberFormat="1" applyFont="1" applyFill="1" applyBorder="1" applyAlignment="1">
      <alignment horizontal="center" vertical="center"/>
    </xf>
    <xf numFmtId="3" fontId="67" fillId="21" borderId="90" xfId="0" applyNumberFormat="1" applyFont="1" applyFill="1" applyBorder="1" applyAlignment="1">
      <alignment horizontal="center" vertical="center"/>
    </xf>
    <xf numFmtId="3" fontId="67" fillId="21" borderId="54" xfId="0" applyNumberFormat="1" applyFont="1" applyFill="1" applyBorder="1" applyAlignment="1">
      <alignment horizontal="center" vertical="center"/>
    </xf>
    <xf numFmtId="3" fontId="40" fillId="6" borderId="47" xfId="0" applyNumberFormat="1" applyFont="1" applyFill="1" applyBorder="1" applyAlignment="1">
      <alignment horizontal="center" vertical="center"/>
    </xf>
    <xf numFmtId="3" fontId="40" fillId="6" borderId="52" xfId="0" applyNumberFormat="1" applyFont="1" applyFill="1" applyBorder="1" applyAlignment="1">
      <alignment horizontal="center" vertical="center"/>
    </xf>
    <xf numFmtId="3" fontId="25" fillId="3" borderId="87" xfId="0" applyNumberFormat="1" applyFont="1" applyFill="1" applyBorder="1" applyAlignment="1">
      <alignment horizontal="center" vertical="center"/>
    </xf>
    <xf numFmtId="3" fontId="25" fillId="3" borderId="50" xfId="0" applyNumberFormat="1" applyFont="1" applyFill="1" applyBorder="1" applyAlignment="1">
      <alignment horizontal="center" vertical="center"/>
    </xf>
    <xf numFmtId="3" fontId="40" fillId="16" borderId="47" xfId="0" applyNumberFormat="1" applyFont="1" applyFill="1" applyBorder="1" applyAlignment="1">
      <alignment horizontal="center" vertical="center"/>
    </xf>
    <xf numFmtId="3" fontId="40" fillId="16" borderId="52" xfId="0" applyNumberFormat="1" applyFont="1" applyFill="1" applyBorder="1" applyAlignment="1">
      <alignment horizontal="center" vertical="center"/>
    </xf>
    <xf numFmtId="3" fontId="40" fillId="6" borderId="90" xfId="0" applyNumberFormat="1" applyFont="1" applyFill="1" applyBorder="1" applyAlignment="1">
      <alignment horizontal="center" vertical="center"/>
    </xf>
    <xf numFmtId="3" fontId="40" fillId="6" borderId="54" xfId="0" applyNumberFormat="1" applyFont="1" applyFill="1" applyBorder="1" applyAlignment="1">
      <alignment horizontal="center" vertical="center"/>
    </xf>
    <xf numFmtId="3" fontId="40" fillId="21" borderId="90" xfId="0" applyNumberFormat="1" applyFont="1" applyFill="1" applyBorder="1" applyAlignment="1">
      <alignment horizontal="center" vertical="center"/>
    </xf>
    <xf numFmtId="3" fontId="40" fillId="21" borderId="54" xfId="0" applyNumberFormat="1" applyFont="1" applyFill="1" applyBorder="1" applyAlignment="1">
      <alignment horizontal="center" vertical="center"/>
    </xf>
    <xf numFmtId="3" fontId="67" fillId="16" borderId="88" xfId="0" applyNumberFormat="1" applyFont="1" applyFill="1" applyBorder="1" applyAlignment="1">
      <alignment horizontal="center" vertical="center"/>
    </xf>
    <xf numFmtId="3" fontId="67" fillId="16" borderId="0" xfId="0" applyNumberFormat="1" applyFont="1" applyFill="1" applyAlignment="1">
      <alignment horizontal="center" vertical="center"/>
    </xf>
    <xf numFmtId="3" fontId="67" fillId="16" borderId="58" xfId="0" applyNumberFormat="1" applyFont="1" applyFill="1" applyBorder="1" applyAlignment="1">
      <alignment horizontal="center" vertical="center"/>
    </xf>
    <xf numFmtId="3" fontId="67" fillId="16" borderId="87" xfId="0" applyNumberFormat="1" applyFont="1" applyFill="1" applyBorder="1" applyAlignment="1">
      <alignment horizontal="center" vertical="center"/>
    </xf>
    <xf numFmtId="0" fontId="47" fillId="15" borderId="47" xfId="0" applyFont="1" applyFill="1" applyBorder="1" applyAlignment="1">
      <alignment horizontal="center" vertical="center" wrapText="1"/>
    </xf>
    <xf numFmtId="3" fontId="3" fillId="30" borderId="122" xfId="0" applyNumberFormat="1" applyFont="1" applyFill="1" applyBorder="1" applyAlignment="1">
      <alignment horizontal="center" vertical="center"/>
    </xf>
    <xf numFmtId="0" fontId="80" fillId="0" borderId="0" xfId="0" applyFont="1"/>
    <xf numFmtId="0" fontId="38" fillId="0" borderId="0" xfId="0" applyFont="1"/>
    <xf numFmtId="3" fontId="5" fillId="17" borderId="0" xfId="0" applyNumberFormat="1" applyFont="1" applyFill="1" applyAlignment="1">
      <alignment horizontal="right" vertical="center"/>
    </xf>
    <xf numFmtId="3" fontId="5" fillId="17" borderId="0" xfId="0" applyNumberFormat="1" applyFont="1" applyFill="1" applyAlignment="1">
      <alignment horizontal="right" vertical="center" wrapText="1"/>
    </xf>
    <xf numFmtId="0" fontId="0" fillId="0" borderId="0" xfId="0" applyAlignment="1">
      <alignment horizontal="left"/>
    </xf>
    <xf numFmtId="3" fontId="62" fillId="2" borderId="47" xfId="0" applyNumberFormat="1" applyFont="1" applyFill="1" applyBorder="1" applyAlignment="1">
      <alignment horizontal="center" vertical="center"/>
    </xf>
    <xf numFmtId="1" fontId="62" fillId="2" borderId="87" xfId="0" applyNumberFormat="1" applyFont="1" applyFill="1" applyBorder="1" applyAlignment="1">
      <alignment horizontal="center" vertical="center"/>
    </xf>
    <xf numFmtId="2" fontId="62" fillId="2" borderId="54" xfId="0" applyNumberFormat="1" applyFont="1" applyFill="1" applyBorder="1" applyAlignment="1">
      <alignment horizontal="center" vertical="center"/>
    </xf>
    <xf numFmtId="3" fontId="62" fillId="2" borderId="58" xfId="0" applyNumberFormat="1" applyFont="1" applyFill="1" applyBorder="1" applyAlignment="1">
      <alignment horizontal="center" vertical="center"/>
    </xf>
    <xf numFmtId="0" fontId="55" fillId="16" borderId="47" xfId="0" applyFont="1" applyFill="1" applyBorder="1" applyAlignment="1">
      <alignment horizontal="center" vertical="top" wrapText="1"/>
    </xf>
    <xf numFmtId="0" fontId="67" fillId="16" borderId="84" xfId="0" applyFont="1" applyFill="1" applyBorder="1" applyAlignment="1">
      <alignment horizontal="center" vertical="top" wrapText="1"/>
    </xf>
    <xf numFmtId="0" fontId="51" fillId="16" borderId="47" xfId="0" applyFont="1" applyFill="1" applyBorder="1" applyAlignment="1">
      <alignment horizontal="center" vertical="top" wrapText="1"/>
    </xf>
    <xf numFmtId="3" fontId="60" fillId="18" borderId="47" xfId="0" applyNumberFormat="1" applyFont="1" applyFill="1" applyBorder="1" applyAlignment="1">
      <alignment horizontal="center" vertical="center"/>
    </xf>
    <xf numFmtId="2" fontId="60" fillId="18" borderId="58" xfId="0" applyNumberFormat="1" applyFont="1" applyFill="1" applyBorder="1" applyAlignment="1">
      <alignment horizontal="center" vertical="center"/>
    </xf>
    <xf numFmtId="1" fontId="60" fillId="18" borderId="47" xfId="0" applyNumberFormat="1" applyFont="1" applyFill="1" applyBorder="1" applyAlignment="1">
      <alignment horizontal="center" vertical="center"/>
    </xf>
    <xf numFmtId="3" fontId="60" fillId="18" borderId="47" xfId="0" applyNumberFormat="1" applyFont="1" applyFill="1" applyBorder="1" applyAlignment="1">
      <alignment horizontal="center"/>
    </xf>
    <xf numFmtId="2" fontId="61" fillId="18" borderId="58" xfId="0" applyNumberFormat="1" applyFont="1" applyFill="1" applyBorder="1" applyAlignment="1">
      <alignment horizontal="center"/>
    </xf>
    <xf numFmtId="1" fontId="60" fillId="18" borderId="87" xfId="0" applyNumberFormat="1" applyFont="1" applyFill="1" applyBorder="1" applyAlignment="1">
      <alignment horizontal="center"/>
    </xf>
    <xf numFmtId="3" fontId="60" fillId="6" borderId="47" xfId="0" applyNumberFormat="1" applyFont="1" applyFill="1" applyBorder="1" applyAlignment="1">
      <alignment horizontal="center" vertical="center"/>
    </xf>
    <xf numFmtId="2" fontId="61" fillId="6" borderId="58" xfId="0" applyNumberFormat="1" applyFont="1" applyFill="1" applyBorder="1" applyAlignment="1">
      <alignment horizontal="center" vertical="center"/>
    </xf>
    <xf numFmtId="1" fontId="60" fillId="6" borderId="87" xfId="0" applyNumberFormat="1" applyFont="1" applyFill="1" applyBorder="1" applyAlignment="1">
      <alignment horizontal="center" vertical="center"/>
    </xf>
    <xf numFmtId="3" fontId="60" fillId="16" borderId="47" xfId="0" applyNumberFormat="1" applyFont="1" applyFill="1" applyBorder="1" applyAlignment="1">
      <alignment horizontal="center" vertical="center"/>
    </xf>
    <xf numFmtId="2" fontId="60" fillId="16" borderId="58" xfId="0" applyNumberFormat="1" applyFont="1" applyFill="1" applyBorder="1" applyAlignment="1">
      <alignment horizontal="center" vertical="center"/>
    </xf>
    <xf numFmtId="1" fontId="60" fillId="16" borderId="90" xfId="0" applyNumberFormat="1" applyFont="1" applyFill="1" applyBorder="1" applyAlignment="1">
      <alignment horizontal="center" vertical="center"/>
    </xf>
    <xf numFmtId="2" fontId="60" fillId="6" borderId="54" xfId="0" applyNumberFormat="1" applyFont="1" applyFill="1" applyBorder="1" applyAlignment="1">
      <alignment horizontal="center" vertical="center"/>
    </xf>
    <xf numFmtId="1" fontId="60" fillId="6" borderId="47" xfId="0" applyNumberFormat="1" applyFont="1" applyFill="1" applyBorder="1" applyAlignment="1">
      <alignment horizontal="center" vertical="center"/>
    </xf>
    <xf numFmtId="2" fontId="60" fillId="16" borderId="54" xfId="0" applyNumberFormat="1" applyFont="1" applyFill="1" applyBorder="1" applyAlignment="1">
      <alignment horizontal="center" vertical="center"/>
    </xf>
    <xf numFmtId="1" fontId="60" fillId="16" borderId="47" xfId="0" applyNumberFormat="1" applyFont="1" applyFill="1" applyBorder="1" applyAlignment="1">
      <alignment horizontal="center" vertical="center"/>
    </xf>
    <xf numFmtId="1" fontId="62" fillId="16" borderId="47" xfId="0" applyNumberFormat="1" applyFont="1" applyFill="1" applyBorder="1" applyAlignment="1">
      <alignment horizontal="center" vertical="center"/>
    </xf>
    <xf numFmtId="3" fontId="71" fillId="16" borderId="90" xfId="0" applyNumberFormat="1" applyFont="1" applyFill="1" applyBorder="1" applyAlignment="1">
      <alignment horizontal="center" vertical="center"/>
    </xf>
    <xf numFmtId="0" fontId="25" fillId="21" borderId="84" xfId="0" applyFont="1" applyFill="1" applyBorder="1" applyAlignment="1">
      <alignment horizontal="center" vertical="center" wrapText="1"/>
    </xf>
    <xf numFmtId="170" fontId="0" fillId="0" borderId="0" xfId="0" applyNumberFormat="1"/>
    <xf numFmtId="0" fontId="54" fillId="21" borderId="137" xfId="0" applyFont="1" applyFill="1" applyBorder="1" applyAlignment="1" applyProtection="1">
      <alignment vertical="center"/>
      <protection hidden="1"/>
    </xf>
    <xf numFmtId="3" fontId="56" fillId="21" borderId="59" xfId="0" applyNumberFormat="1" applyFont="1" applyFill="1" applyBorder="1" applyAlignment="1" applyProtection="1">
      <alignment horizontal="center" vertical="center"/>
      <protection hidden="1"/>
    </xf>
    <xf numFmtId="3" fontId="81" fillId="2" borderId="47" xfId="0" applyNumberFormat="1" applyFont="1" applyFill="1" applyBorder="1" applyAlignment="1">
      <alignment horizontal="center" vertical="center"/>
    </xf>
    <xf numFmtId="3" fontId="81" fillId="2" borderId="0" xfId="0" applyNumberFormat="1" applyFont="1" applyFill="1" applyAlignment="1">
      <alignment horizontal="center" vertical="center"/>
    </xf>
    <xf numFmtId="3" fontId="81" fillId="2" borderId="84" xfId="0" applyNumberFormat="1" applyFont="1" applyFill="1" applyBorder="1" applyAlignment="1">
      <alignment horizontal="center" vertical="center"/>
    </xf>
    <xf numFmtId="3" fontId="81" fillId="2" borderId="87" xfId="0" applyNumberFormat="1" applyFont="1" applyFill="1" applyBorder="1" applyAlignment="1">
      <alignment horizontal="center" vertical="center"/>
    </xf>
    <xf numFmtId="3" fontId="81" fillId="2" borderId="57" xfId="0" applyNumberFormat="1" applyFont="1" applyFill="1" applyBorder="1" applyAlignment="1">
      <alignment horizontal="center" vertical="center"/>
    </xf>
    <xf numFmtId="3" fontId="81" fillId="2" borderId="1" xfId="0" applyNumberFormat="1" applyFont="1" applyFill="1" applyBorder="1" applyAlignment="1">
      <alignment horizontal="center" vertical="center"/>
    </xf>
    <xf numFmtId="171" fontId="77" fillId="0" borderId="0" xfId="0" applyNumberFormat="1" applyFont="1"/>
    <xf numFmtId="0" fontId="83" fillId="0" borderId="0" xfId="0" applyFont="1"/>
    <xf numFmtId="0" fontId="56" fillId="6" borderId="1" xfId="0" applyFont="1" applyFill="1" applyBorder="1" applyAlignment="1" applyProtection="1">
      <alignment horizontal="center" vertical="center"/>
      <protection hidden="1"/>
    </xf>
    <xf numFmtId="3" fontId="66" fillId="21" borderId="2" xfId="0" applyNumberFormat="1" applyFont="1" applyFill="1" applyBorder="1" applyAlignment="1">
      <alignment horizontal="center" vertical="center"/>
    </xf>
    <xf numFmtId="0" fontId="5" fillId="17" borderId="1" xfId="0" applyFont="1" applyFill="1" applyBorder="1" applyAlignment="1">
      <alignment horizontal="center" vertical="center" wrapText="1"/>
    </xf>
    <xf numFmtId="0" fontId="5" fillId="17" borderId="1" xfId="0" applyFont="1" applyFill="1" applyBorder="1" applyAlignment="1">
      <alignment horizontal="center" vertical="center"/>
    </xf>
    <xf numFmtId="0" fontId="0" fillId="0" borderId="18" xfId="0" applyBorder="1"/>
    <xf numFmtId="3" fontId="0" fillId="0" borderId="0" xfId="0" applyNumberFormat="1" applyAlignment="1">
      <alignment horizontal="center" vertical="center"/>
    </xf>
    <xf numFmtId="0" fontId="72" fillId="0" borderId="0" xfId="0" applyFont="1"/>
    <xf numFmtId="169" fontId="88" fillId="17" borderId="58" xfId="0" applyNumberFormat="1" applyFont="1" applyFill="1" applyBorder="1" applyAlignment="1">
      <alignment horizontal="center" vertical="center"/>
    </xf>
    <xf numFmtId="3" fontId="88" fillId="17" borderId="148" xfId="0" applyNumberFormat="1" applyFont="1" applyFill="1" applyBorder="1" applyAlignment="1">
      <alignment horizontal="center" vertical="center"/>
    </xf>
    <xf numFmtId="3" fontId="88" fillId="17" borderId="58" xfId="0" applyNumberFormat="1" applyFont="1" applyFill="1" applyBorder="1" applyAlignment="1">
      <alignment horizontal="center" vertical="center"/>
    </xf>
    <xf numFmtId="1" fontId="88" fillId="6" borderId="58" xfId="0" applyNumberFormat="1" applyFont="1" applyFill="1" applyBorder="1" applyAlignment="1">
      <alignment horizontal="center" vertical="center"/>
    </xf>
    <xf numFmtId="3" fontId="88" fillId="6" borderId="148" xfId="0" applyNumberFormat="1" applyFont="1" applyFill="1" applyBorder="1" applyAlignment="1">
      <alignment horizontal="center" vertical="center"/>
    </xf>
    <xf numFmtId="3" fontId="88" fillId="6" borderId="58" xfId="0" applyNumberFormat="1" applyFont="1" applyFill="1" applyBorder="1" applyAlignment="1">
      <alignment horizontal="center" vertical="center"/>
    </xf>
    <xf numFmtId="1" fontId="88" fillId="16" borderId="58" xfId="0" applyNumberFormat="1" applyFont="1" applyFill="1" applyBorder="1" applyAlignment="1">
      <alignment horizontal="center" vertical="center"/>
    </xf>
    <xf numFmtId="3" fontId="88" fillId="16" borderId="148" xfId="0" applyNumberFormat="1" applyFont="1" applyFill="1" applyBorder="1" applyAlignment="1">
      <alignment horizontal="center" vertical="center"/>
    </xf>
    <xf numFmtId="3" fontId="88" fillId="16" borderId="58" xfId="0" applyNumberFormat="1" applyFont="1" applyFill="1" applyBorder="1" applyAlignment="1">
      <alignment horizontal="center" vertical="center"/>
    </xf>
    <xf numFmtId="3" fontId="88" fillId="6" borderId="116" xfId="0" applyNumberFormat="1" applyFont="1" applyFill="1" applyBorder="1" applyAlignment="1">
      <alignment horizontal="center" vertical="center"/>
    </xf>
    <xf numFmtId="0" fontId="10" fillId="28" borderId="144" xfId="0" applyFont="1" applyFill="1" applyBorder="1" applyAlignment="1">
      <alignment horizontal="center" vertical="center" wrapText="1"/>
    </xf>
    <xf numFmtId="17" fontId="0" fillId="0" borderId="145" xfId="0" applyNumberFormat="1" applyBorder="1" applyAlignment="1">
      <alignment horizontal="center" vertical="center"/>
    </xf>
    <xf numFmtId="3" fontId="0" fillId="11" borderId="110" xfId="0" applyNumberFormat="1" applyFill="1" applyBorder="1" applyAlignment="1">
      <alignment horizontal="center" vertical="center"/>
    </xf>
    <xf numFmtId="0" fontId="0" fillId="0" borderId="111" xfId="0" applyBorder="1" applyAlignment="1">
      <alignment horizontal="center" vertical="center"/>
    </xf>
    <xf numFmtId="3" fontId="0" fillId="10" borderId="110" xfId="0" applyNumberFormat="1" applyFill="1" applyBorder="1" applyAlignment="1">
      <alignment horizontal="center" vertical="center"/>
    </xf>
    <xf numFmtId="3" fontId="0" fillId="2" borderId="110" xfId="0" applyNumberFormat="1" applyFill="1" applyBorder="1" applyAlignment="1">
      <alignment horizontal="center" vertical="center"/>
    </xf>
    <xf numFmtId="3" fontId="0" fillId="6" borderId="110" xfId="0" applyNumberFormat="1" applyFill="1" applyBorder="1" applyAlignment="1">
      <alignment horizontal="center" vertical="center"/>
    </xf>
    <xf numFmtId="3" fontId="0" fillId="29" borderId="110" xfId="0" applyNumberFormat="1" applyFill="1" applyBorder="1" applyAlignment="1">
      <alignment horizontal="center" vertical="center"/>
    </xf>
    <xf numFmtId="3" fontId="0" fillId="15" borderId="110" xfId="0" applyNumberFormat="1" applyFill="1" applyBorder="1" applyAlignment="1">
      <alignment horizontal="center" vertical="center"/>
    </xf>
    <xf numFmtId="3" fontId="0" fillId="19" borderId="110" xfId="0" applyNumberFormat="1" applyFill="1" applyBorder="1" applyAlignment="1">
      <alignment horizontal="center" vertical="center"/>
    </xf>
    <xf numFmtId="3" fontId="72" fillId="15" borderId="133" xfId="0" applyNumberFormat="1" applyFont="1" applyFill="1" applyBorder="1" applyAlignment="1">
      <alignment horizontal="center" vertical="center"/>
    </xf>
    <xf numFmtId="3" fontId="72" fillId="15" borderId="134" xfId="0" applyNumberFormat="1" applyFont="1" applyFill="1" applyBorder="1" applyAlignment="1">
      <alignment horizontal="center" vertical="center"/>
    </xf>
    <xf numFmtId="0" fontId="16" fillId="21" borderId="144" xfId="0" applyFont="1" applyFill="1" applyBorder="1" applyAlignment="1">
      <alignment horizontal="center" vertical="center"/>
    </xf>
    <xf numFmtId="3" fontId="3" fillId="21" borderId="146" xfId="0" applyNumberFormat="1" applyFont="1" applyFill="1" applyBorder="1" applyAlignment="1">
      <alignment horizontal="center" vertical="center"/>
    </xf>
    <xf numFmtId="0" fontId="16" fillId="21" borderId="110" xfId="0" applyFont="1" applyFill="1" applyBorder="1" applyAlignment="1">
      <alignment horizontal="center" vertical="center"/>
    </xf>
    <xf numFmtId="3" fontId="3" fillId="21" borderId="152" xfId="0" applyNumberFormat="1" applyFont="1" applyFill="1" applyBorder="1" applyAlignment="1">
      <alignment horizontal="center" vertical="center"/>
    </xf>
    <xf numFmtId="0" fontId="11" fillId="15" borderId="151" xfId="0" applyFont="1" applyFill="1" applyBorder="1" applyAlignment="1">
      <alignment horizontal="center" vertical="center"/>
    </xf>
    <xf numFmtId="0" fontId="11" fillId="15" borderId="19" xfId="0" applyFont="1" applyFill="1" applyBorder="1" applyAlignment="1">
      <alignment horizontal="center" vertical="center"/>
    </xf>
    <xf numFmtId="169" fontId="11" fillId="15" borderId="117" xfId="0" applyNumberFormat="1" applyFont="1" applyFill="1" applyBorder="1" applyAlignment="1">
      <alignment horizontal="center" vertical="center"/>
    </xf>
    <xf numFmtId="3" fontId="11" fillId="15" borderId="133" xfId="0" applyNumberFormat="1" applyFont="1" applyFill="1" applyBorder="1" applyAlignment="1">
      <alignment horizontal="center" vertical="center"/>
    </xf>
    <xf numFmtId="17" fontId="74" fillId="15" borderId="135" xfId="0" applyNumberFormat="1" applyFont="1" applyFill="1" applyBorder="1" applyAlignment="1">
      <alignment horizontal="center" vertical="center"/>
    </xf>
    <xf numFmtId="0" fontId="0" fillId="0" borderId="0" xfId="0" applyAlignment="1">
      <alignment horizontal="center"/>
    </xf>
    <xf numFmtId="3" fontId="76" fillId="6" borderId="59" xfId="0" applyNumberFormat="1" applyFont="1" applyFill="1" applyBorder="1" applyAlignment="1">
      <alignment horizontal="center" vertical="center"/>
    </xf>
    <xf numFmtId="3" fontId="76" fillId="3" borderId="18" xfId="0" applyNumberFormat="1" applyFont="1" applyFill="1" applyBorder="1" applyAlignment="1">
      <alignment horizontal="center" vertical="center"/>
    </xf>
    <xf numFmtId="0" fontId="3" fillId="21" borderId="112" xfId="0" applyFont="1" applyFill="1" applyBorder="1" applyAlignment="1">
      <alignment horizontal="center" vertical="center" wrapText="1"/>
    </xf>
    <xf numFmtId="0" fontId="73" fillId="0" borderId="0" xfId="0" applyFont="1"/>
    <xf numFmtId="2" fontId="64" fillId="17" borderId="18" xfId="0" applyNumberFormat="1" applyFont="1" applyFill="1" applyBorder="1" applyAlignment="1">
      <alignment horizontal="center" vertical="center"/>
    </xf>
    <xf numFmtId="2" fontId="58" fillId="21" borderId="131" xfId="0" applyNumberFormat="1" applyFont="1" applyFill="1" applyBorder="1" applyAlignment="1">
      <alignment horizontal="center" vertical="center"/>
    </xf>
    <xf numFmtId="0" fontId="5" fillId="6" borderId="112" xfId="0" applyFont="1" applyFill="1" applyBorder="1" applyAlignment="1">
      <alignment horizontal="center" vertical="center"/>
    </xf>
    <xf numFmtId="2" fontId="5" fillId="6" borderId="116" xfId="0" applyNumberFormat="1" applyFont="1" applyFill="1" applyBorder="1" applyAlignment="1">
      <alignment horizontal="center" vertical="center"/>
    </xf>
    <xf numFmtId="3" fontId="5" fillId="17" borderId="58" xfId="0" applyNumberFormat="1" applyFont="1" applyFill="1" applyBorder="1" applyAlignment="1">
      <alignment horizontal="center" vertical="center"/>
    </xf>
    <xf numFmtId="0" fontId="5" fillId="17" borderId="58" xfId="0" applyFont="1" applyFill="1" applyBorder="1" applyAlignment="1">
      <alignment horizontal="center" vertical="center" wrapText="1"/>
    </xf>
    <xf numFmtId="0" fontId="10" fillId="3" borderId="84" xfId="0" applyFont="1" applyFill="1" applyBorder="1" applyAlignment="1">
      <alignment horizontal="center" vertical="center"/>
    </xf>
    <xf numFmtId="0" fontId="90" fillId="0" borderId="0" xfId="0" applyFont="1" applyAlignment="1">
      <alignment vertical="center" wrapText="1"/>
    </xf>
    <xf numFmtId="3" fontId="72" fillId="0" borderId="0" xfId="0" applyNumberFormat="1" applyFont="1" applyAlignment="1">
      <alignment vertical="center"/>
    </xf>
    <xf numFmtId="0" fontId="16" fillId="18" borderId="144" xfId="0" applyFont="1" applyFill="1" applyBorder="1" applyAlignment="1">
      <alignment horizontal="center" vertical="center" wrapText="1"/>
    </xf>
    <xf numFmtId="0" fontId="3" fillId="2" borderId="155" xfId="0" applyFont="1" applyFill="1" applyBorder="1" applyAlignment="1">
      <alignment horizontal="center" vertical="center" wrapText="1"/>
    </xf>
    <xf numFmtId="3" fontId="52" fillId="18" borderId="154" xfId="0" applyNumberFormat="1" applyFont="1" applyFill="1" applyBorder="1" applyAlignment="1">
      <alignment horizontal="center" vertical="center"/>
    </xf>
    <xf numFmtId="3" fontId="93" fillId="0" borderId="0" xfId="0" applyNumberFormat="1" applyFont="1" applyAlignment="1">
      <alignment vertical="center"/>
    </xf>
    <xf numFmtId="3" fontId="52" fillId="18" borderId="146" xfId="0" applyNumberFormat="1" applyFont="1" applyFill="1" applyBorder="1" applyAlignment="1">
      <alignment horizontal="center" vertical="center"/>
    </xf>
    <xf numFmtId="3" fontId="64" fillId="2" borderId="156" xfId="0" applyNumberFormat="1" applyFont="1" applyFill="1" applyBorder="1" applyAlignment="1">
      <alignment horizontal="center" vertical="center"/>
    </xf>
    <xf numFmtId="3" fontId="52" fillId="17" borderId="154" xfId="0" applyNumberFormat="1" applyFont="1" applyFill="1" applyBorder="1" applyAlignment="1">
      <alignment horizontal="center" vertical="center"/>
    </xf>
    <xf numFmtId="0" fontId="11" fillId="15" borderId="118" xfId="0" applyFont="1" applyFill="1" applyBorder="1" applyAlignment="1">
      <alignment horizontal="center" vertical="center" wrapText="1"/>
    </xf>
    <xf numFmtId="3" fontId="46" fillId="15" borderId="4" xfId="0" applyNumberFormat="1" applyFont="1" applyFill="1" applyBorder="1" applyAlignment="1">
      <alignment horizontal="center" vertical="center"/>
    </xf>
    <xf numFmtId="0" fontId="5" fillId="17" borderId="133" xfId="0" applyFont="1" applyFill="1" applyBorder="1" applyAlignment="1">
      <alignment horizontal="center" vertical="center" wrapText="1"/>
    </xf>
    <xf numFmtId="0" fontId="54" fillId="19" borderId="1" xfId="0" applyFont="1" applyFill="1" applyBorder="1" applyAlignment="1">
      <alignment horizontal="center" vertical="center" wrapText="1"/>
    </xf>
    <xf numFmtId="0" fontId="30" fillId="15" borderId="112" xfId="0" applyFont="1" applyFill="1" applyBorder="1" applyAlignment="1">
      <alignment horizontal="center" vertical="center" wrapText="1"/>
    </xf>
    <xf numFmtId="0" fontId="13" fillId="17" borderId="9" xfId="0" applyFont="1" applyFill="1" applyBorder="1" applyAlignment="1">
      <alignment horizontal="center" vertical="center" wrapText="1"/>
    </xf>
    <xf numFmtId="12" fontId="3" fillId="17" borderId="18" xfId="0" applyNumberFormat="1" applyFont="1" applyFill="1" applyBorder="1" applyAlignment="1">
      <alignment horizontal="center" vertical="center"/>
    </xf>
    <xf numFmtId="0" fontId="94" fillId="0" borderId="0" xfId="0" applyFont="1"/>
    <xf numFmtId="173" fontId="3" fillId="17" borderId="18" xfId="0" applyNumberFormat="1" applyFont="1" applyFill="1" applyBorder="1" applyAlignment="1">
      <alignment horizontal="center" vertical="center"/>
    </xf>
    <xf numFmtId="3" fontId="13" fillId="17" borderId="18" xfId="0" applyNumberFormat="1" applyFont="1" applyFill="1" applyBorder="1" applyAlignment="1">
      <alignment horizontal="center" vertical="center"/>
    </xf>
    <xf numFmtId="0" fontId="16" fillId="10" borderId="110" xfId="0" applyFont="1" applyFill="1" applyBorder="1" applyAlignment="1">
      <alignment horizontal="center" vertical="center"/>
    </xf>
    <xf numFmtId="0" fontId="16" fillId="10" borderId="133" xfId="0" applyFont="1" applyFill="1" applyBorder="1" applyAlignment="1">
      <alignment horizontal="center" vertical="center"/>
    </xf>
    <xf numFmtId="1" fontId="0" fillId="0" borderId="0" xfId="0" applyNumberFormat="1" applyAlignment="1">
      <alignment horizontal="center" vertical="center"/>
    </xf>
    <xf numFmtId="0" fontId="5" fillId="19" borderId="18" xfId="0" applyFont="1" applyFill="1" applyBorder="1" applyAlignment="1">
      <alignment horizontal="center" vertical="center" wrapText="1"/>
    </xf>
    <xf numFmtId="0" fontId="0" fillId="0" borderId="18" xfId="0" applyBorder="1" applyAlignment="1">
      <alignment horizontal="center"/>
    </xf>
    <xf numFmtId="0" fontId="0" fillId="2" borderId="18" xfId="0" applyFill="1" applyBorder="1" applyAlignment="1">
      <alignment horizontal="center" vertical="center" wrapText="1"/>
    </xf>
    <xf numFmtId="0" fontId="0" fillId="0" borderId="6" xfId="0" applyBorder="1"/>
    <xf numFmtId="0" fontId="0" fillId="0" borderId="30" xfId="0" applyBorder="1"/>
    <xf numFmtId="0" fontId="0" fillId="0" borderId="38" xfId="0" applyBorder="1"/>
    <xf numFmtId="0" fontId="0" fillId="0" borderId="19" xfId="0" applyBorder="1"/>
    <xf numFmtId="0" fontId="0" fillId="0" borderId="7" xfId="0" applyBorder="1"/>
    <xf numFmtId="0" fontId="0" fillId="0" borderId="5" xfId="0" applyBorder="1"/>
    <xf numFmtId="0" fontId="0" fillId="0" borderId="8" xfId="0" applyBorder="1"/>
    <xf numFmtId="0" fontId="0" fillId="0" borderId="0" xfId="0" applyAlignment="1">
      <alignment vertical="center"/>
    </xf>
    <xf numFmtId="0" fontId="0" fillId="0" borderId="0" xfId="0" applyAlignment="1">
      <alignment horizontal="center" vertical="center"/>
    </xf>
    <xf numFmtId="3" fontId="0" fillId="0" borderId="0" xfId="0" applyNumberFormat="1" applyAlignment="1">
      <alignment horizontal="center"/>
    </xf>
    <xf numFmtId="0" fontId="0" fillId="4" borderId="18" xfId="0" applyFill="1" applyBorder="1" applyAlignment="1">
      <alignment horizontal="center" vertical="center" wrapText="1"/>
    </xf>
    <xf numFmtId="3" fontId="0" fillId="4" borderId="18" xfId="0" applyNumberFormat="1" applyFill="1" applyBorder="1" applyAlignment="1">
      <alignment horizontal="center" vertical="center"/>
    </xf>
    <xf numFmtId="0" fontId="79" fillId="4" borderId="18" xfId="0" applyFont="1" applyFill="1" applyBorder="1" applyAlignment="1">
      <alignment horizontal="center" vertical="center" wrapText="1"/>
    </xf>
    <xf numFmtId="0" fontId="79" fillId="17" borderId="18" xfId="0" applyFont="1" applyFill="1" applyBorder="1" applyAlignment="1">
      <alignment horizontal="center" vertical="center" wrapText="1"/>
    </xf>
    <xf numFmtId="3" fontId="0" fillId="17" borderId="18" xfId="0" applyNumberFormat="1" applyFill="1" applyBorder="1" applyAlignment="1">
      <alignment horizontal="center" vertical="center"/>
    </xf>
    <xf numFmtId="0" fontId="0" fillId="16" borderId="9" xfId="0" applyFill="1" applyBorder="1" applyAlignment="1">
      <alignment horizontal="center" vertical="center" wrapText="1"/>
    </xf>
    <xf numFmtId="0" fontId="5" fillId="16" borderId="9" xfId="0" applyFont="1" applyFill="1" applyBorder="1" applyAlignment="1">
      <alignment horizontal="center" vertical="center" wrapText="1"/>
    </xf>
    <xf numFmtId="3" fontId="5" fillId="16" borderId="73" xfId="0" applyNumberFormat="1" applyFont="1" applyFill="1" applyBorder="1" applyAlignment="1">
      <alignment horizontal="center" vertical="center"/>
    </xf>
    <xf numFmtId="3" fontId="0" fillId="0" borderId="1" xfId="0" applyNumberFormat="1" applyBorder="1" applyAlignment="1">
      <alignment horizontal="center" vertical="center"/>
    </xf>
    <xf numFmtId="3" fontId="0" fillId="18" borderId="1" xfId="0" applyNumberFormat="1" applyFill="1" applyBorder="1" applyAlignment="1">
      <alignment horizontal="center" vertical="center"/>
    </xf>
    <xf numFmtId="3" fontId="10" fillId="15" borderId="9" xfId="0" applyNumberFormat="1" applyFont="1" applyFill="1" applyBorder="1" applyAlignment="1">
      <alignment horizontal="center" vertical="center"/>
    </xf>
    <xf numFmtId="0" fontId="97" fillId="15" borderId="1" xfId="0" applyFont="1" applyFill="1" applyBorder="1" applyAlignment="1">
      <alignment horizontal="center" vertical="center" wrapText="1"/>
    </xf>
    <xf numFmtId="3" fontId="0" fillId="2" borderId="59" xfId="0" applyNumberFormat="1" applyFill="1" applyBorder="1" applyAlignment="1">
      <alignment horizontal="center" vertical="center"/>
    </xf>
    <xf numFmtId="0" fontId="18" fillId="15" borderId="9" xfId="0" applyFont="1" applyFill="1" applyBorder="1" applyAlignment="1">
      <alignment horizontal="center" vertical="center" wrapText="1"/>
    </xf>
    <xf numFmtId="3" fontId="18" fillId="15" borderId="122" xfId="0" applyNumberFormat="1" applyFont="1" applyFill="1" applyBorder="1" applyAlignment="1">
      <alignment horizontal="center" vertical="center"/>
    </xf>
    <xf numFmtId="0" fontId="16" fillId="10" borderId="101" xfId="0" applyFont="1" applyFill="1" applyBorder="1" applyAlignment="1">
      <alignment horizontal="center" vertical="center"/>
    </xf>
    <xf numFmtId="0" fontId="16" fillId="10" borderId="142" xfId="0" applyFont="1" applyFill="1" applyBorder="1" applyAlignment="1">
      <alignment horizontal="center" vertical="center"/>
    </xf>
    <xf numFmtId="3" fontId="0" fillId="16" borderId="4" xfId="0" applyNumberFormat="1" applyFill="1" applyBorder="1" applyAlignment="1">
      <alignment horizontal="center" vertical="center"/>
    </xf>
    <xf numFmtId="0" fontId="0" fillId="16" borderId="8" xfId="0" applyFill="1" applyBorder="1" applyAlignment="1">
      <alignment horizontal="center" vertical="center" wrapText="1"/>
    </xf>
    <xf numFmtId="3" fontId="0" fillId="21" borderId="121" xfId="0" applyNumberFormat="1" applyFill="1" applyBorder="1" applyAlignment="1">
      <alignment horizontal="center" vertical="center"/>
    </xf>
    <xf numFmtId="3" fontId="0" fillId="21" borderId="143" xfId="0" applyNumberFormat="1" applyFill="1" applyBorder="1" applyAlignment="1">
      <alignment horizontal="center" vertical="center"/>
    </xf>
    <xf numFmtId="3" fontId="0" fillId="21" borderId="122" xfId="0" applyNumberFormat="1" applyFill="1" applyBorder="1" applyAlignment="1">
      <alignment horizontal="center" vertical="center"/>
    </xf>
    <xf numFmtId="0" fontId="75" fillId="0" borderId="0" xfId="0" applyFont="1"/>
    <xf numFmtId="3" fontId="0" fillId="18" borderId="73" xfId="0" applyNumberFormat="1" applyFill="1" applyBorder="1" applyAlignment="1">
      <alignment horizontal="center" vertical="center"/>
    </xf>
    <xf numFmtId="0" fontId="18" fillId="21" borderId="118" xfId="0" applyFont="1" applyFill="1" applyBorder="1" applyAlignment="1">
      <alignment horizontal="center" vertical="center" wrapText="1"/>
    </xf>
    <xf numFmtId="3" fontId="43" fillId="21" borderId="154" xfId="0" applyNumberFormat="1" applyFont="1" applyFill="1" applyBorder="1" applyAlignment="1">
      <alignment horizontal="center" vertical="center"/>
    </xf>
    <xf numFmtId="0" fontId="13" fillId="17" borderId="144" xfId="0" applyFont="1" applyFill="1" applyBorder="1" applyAlignment="1">
      <alignment horizontal="center" vertical="center" wrapText="1"/>
    </xf>
    <xf numFmtId="2" fontId="52" fillId="17" borderId="146" xfId="0" applyNumberFormat="1" applyFont="1" applyFill="1" applyBorder="1" applyAlignment="1">
      <alignment horizontal="center" vertical="center"/>
    </xf>
    <xf numFmtId="168" fontId="26" fillId="17" borderId="8" xfId="0" applyNumberFormat="1" applyFont="1" applyFill="1" applyBorder="1" applyAlignment="1">
      <alignment horizontal="center" vertical="center"/>
    </xf>
    <xf numFmtId="0" fontId="3" fillId="17" borderId="118" xfId="0" applyFont="1" applyFill="1" applyBorder="1" applyAlignment="1">
      <alignment horizontal="center" vertical="center" wrapText="1"/>
    </xf>
    <xf numFmtId="1" fontId="62" fillId="2" borderId="1" xfId="0" applyNumberFormat="1" applyFont="1" applyFill="1" applyBorder="1" applyAlignment="1">
      <alignment horizontal="center" vertical="center"/>
    </xf>
    <xf numFmtId="169" fontId="11" fillId="15" borderId="156" xfId="0" applyNumberFormat="1" applyFont="1" applyFill="1" applyBorder="1" applyAlignment="1">
      <alignment horizontal="center" vertical="center"/>
    </xf>
    <xf numFmtId="0" fontId="0" fillId="18" borderId="19" xfId="0" applyFill="1" applyBorder="1" applyAlignment="1">
      <alignment vertical="top" wrapText="1"/>
    </xf>
    <xf numFmtId="0" fontId="0" fillId="18" borderId="0" xfId="0" applyFill="1" applyAlignment="1">
      <alignment vertical="top" wrapText="1"/>
    </xf>
    <xf numFmtId="0" fontId="0" fillId="18" borderId="14" xfId="0" applyFill="1" applyBorder="1" applyAlignment="1">
      <alignment vertical="top" wrapText="1"/>
    </xf>
    <xf numFmtId="0" fontId="0" fillId="18" borderId="7" xfId="0" applyFill="1" applyBorder="1" applyAlignment="1">
      <alignment vertical="top" wrapText="1"/>
    </xf>
    <xf numFmtId="0" fontId="0" fillId="18" borderId="5" xfId="0" applyFill="1" applyBorder="1" applyAlignment="1">
      <alignment vertical="top" wrapText="1"/>
    </xf>
    <xf numFmtId="0" fontId="0" fillId="18" borderId="8" xfId="0" applyFill="1" applyBorder="1" applyAlignment="1">
      <alignment vertical="top" wrapText="1"/>
    </xf>
    <xf numFmtId="0" fontId="16" fillId="18" borderId="118" xfId="0" applyFont="1" applyFill="1" applyBorder="1" applyAlignment="1">
      <alignment horizontal="center" vertical="center" wrapText="1"/>
    </xf>
    <xf numFmtId="0" fontId="13" fillId="18" borderId="144" xfId="0" applyFont="1" applyFill="1" applyBorder="1" applyAlignment="1">
      <alignment horizontal="center" vertical="center"/>
    </xf>
    <xf numFmtId="0" fontId="52" fillId="18" borderId="146" xfId="0" applyFont="1" applyFill="1" applyBorder="1" applyAlignment="1">
      <alignment horizontal="center" vertical="center"/>
    </xf>
    <xf numFmtId="0" fontId="0" fillId="0" borderId="18" xfId="0" applyBorder="1" applyAlignment="1">
      <alignment horizontal="center" vertical="center" wrapText="1"/>
    </xf>
    <xf numFmtId="2" fontId="0" fillId="0" borderId="18" xfId="0" applyNumberFormat="1" applyBorder="1" applyAlignment="1">
      <alignment horizontal="center" vertical="center"/>
    </xf>
    <xf numFmtId="0" fontId="24" fillId="15" borderId="18" xfId="0" applyFont="1" applyFill="1" applyBorder="1" applyAlignment="1">
      <alignment horizontal="center" vertical="center"/>
    </xf>
    <xf numFmtId="2" fontId="11" fillId="15" borderId="18" xfId="0" applyNumberFormat="1" applyFont="1" applyFill="1" applyBorder="1" applyAlignment="1">
      <alignment horizontal="center" vertical="center"/>
    </xf>
    <xf numFmtId="2" fontId="0" fillId="0" borderId="0" xfId="0" applyNumberFormat="1" applyAlignment="1">
      <alignment horizontal="center" vertical="center"/>
    </xf>
    <xf numFmtId="0" fontId="75" fillId="0" borderId="18" xfId="0" applyFont="1" applyBorder="1" applyAlignment="1">
      <alignment horizontal="center" vertical="center"/>
    </xf>
    <xf numFmtId="0" fontId="0" fillId="0" borderId="49" xfId="0" applyBorder="1" applyAlignment="1">
      <alignment horizontal="center"/>
    </xf>
    <xf numFmtId="2" fontId="0" fillId="0" borderId="49" xfId="0" applyNumberFormat="1" applyBorder="1" applyAlignment="1">
      <alignment horizontal="center" vertical="center"/>
    </xf>
    <xf numFmtId="0" fontId="94" fillId="0" borderId="0" xfId="0" applyFont="1" applyAlignment="1">
      <alignment horizontal="center" vertical="center"/>
    </xf>
    <xf numFmtId="0" fontId="5" fillId="0" borderId="18" xfId="0" applyFont="1" applyBorder="1" applyAlignment="1">
      <alignment horizontal="center" vertical="center"/>
    </xf>
    <xf numFmtId="0" fontId="5" fillId="0" borderId="18" xfId="0" applyFont="1" applyBorder="1" applyAlignment="1">
      <alignment horizontal="center" vertical="center" wrapText="1"/>
    </xf>
    <xf numFmtId="0" fontId="0" fillId="0" borderId="49" xfId="0" applyBorder="1" applyAlignment="1">
      <alignment horizontal="center" vertical="center"/>
    </xf>
    <xf numFmtId="0" fontId="5" fillId="21" borderId="18" xfId="0" applyFont="1" applyFill="1" applyBorder="1" applyAlignment="1">
      <alignment horizontal="center" vertical="center" wrapText="1"/>
    </xf>
    <xf numFmtId="2" fontId="0" fillId="16" borderId="18" xfId="0" applyNumberFormat="1" applyFill="1" applyBorder="1" applyAlignment="1">
      <alignment horizontal="center" vertical="center"/>
    </xf>
    <xf numFmtId="0" fontId="37" fillId="16" borderId="18" xfId="0" applyFont="1" applyFill="1" applyBorder="1" applyAlignment="1">
      <alignment horizontal="center" vertical="center"/>
    </xf>
    <xf numFmtId="0" fontId="5" fillId="32" borderId="18" xfId="0" applyFont="1" applyFill="1" applyBorder="1" applyAlignment="1">
      <alignment horizontal="center" vertical="center"/>
    </xf>
    <xf numFmtId="0" fontId="5" fillId="16" borderId="18" xfId="0" applyFont="1" applyFill="1" applyBorder="1" applyAlignment="1">
      <alignment horizontal="center" vertical="center"/>
    </xf>
    <xf numFmtId="0" fontId="5" fillId="35" borderId="18" xfId="0" applyFont="1" applyFill="1" applyBorder="1" applyAlignment="1">
      <alignment horizontal="center" vertical="center"/>
    </xf>
    <xf numFmtId="0" fontId="5" fillId="32" borderId="18" xfId="0" applyFont="1" applyFill="1" applyBorder="1" applyAlignment="1">
      <alignment horizontal="center" vertical="center" wrapText="1"/>
    </xf>
    <xf numFmtId="0" fontId="3" fillId="17" borderId="18" xfId="0" applyFont="1" applyFill="1" applyBorder="1" applyAlignment="1">
      <alignment horizontal="center" vertical="center" wrapText="1"/>
    </xf>
    <xf numFmtId="0" fontId="3" fillId="17" borderId="18" xfId="0" applyFont="1" applyFill="1" applyBorder="1" applyAlignment="1">
      <alignment vertical="center" wrapText="1"/>
    </xf>
    <xf numFmtId="0" fontId="51" fillId="16" borderId="18" xfId="0" applyFont="1" applyFill="1" applyBorder="1" applyAlignment="1">
      <alignment horizontal="center" vertical="center"/>
    </xf>
    <xf numFmtId="0" fontId="5" fillId="34" borderId="18" xfId="0" applyFont="1" applyFill="1" applyBorder="1" applyAlignment="1">
      <alignment horizontal="center" vertical="center"/>
    </xf>
    <xf numFmtId="0" fontId="94" fillId="35" borderId="18" xfId="0" applyFont="1" applyFill="1" applyBorder="1" applyAlignment="1">
      <alignment horizontal="center" vertical="center" wrapText="1"/>
    </xf>
    <xf numFmtId="169" fontId="11" fillId="15" borderId="18" xfId="0" applyNumberFormat="1" applyFont="1" applyFill="1" applyBorder="1" applyAlignment="1">
      <alignment horizontal="center" vertical="center"/>
    </xf>
    <xf numFmtId="0" fontId="16" fillId="21" borderId="18" xfId="0" applyFont="1" applyFill="1" applyBorder="1" applyAlignment="1">
      <alignment horizontal="center" vertical="center" wrapText="1"/>
    </xf>
    <xf numFmtId="2" fontId="37" fillId="16" borderId="18" xfId="0" applyNumberFormat="1" applyFont="1" applyFill="1" applyBorder="1" applyAlignment="1">
      <alignment horizontal="center" vertical="center"/>
    </xf>
    <xf numFmtId="0" fontId="37" fillId="34" borderId="18" xfId="0" applyFont="1" applyFill="1" applyBorder="1" applyAlignment="1">
      <alignment horizontal="center" vertical="center"/>
    </xf>
    <xf numFmtId="2" fontId="37" fillId="34" borderId="18" xfId="0" applyNumberFormat="1" applyFont="1" applyFill="1" applyBorder="1" applyAlignment="1">
      <alignment horizontal="center" vertical="center"/>
    </xf>
    <xf numFmtId="0" fontId="13" fillId="34" borderId="18" xfId="0" applyFont="1" applyFill="1" applyBorder="1" applyAlignment="1">
      <alignment horizontal="center" vertical="center"/>
    </xf>
    <xf numFmtId="0" fontId="18" fillId="15" borderId="18" xfId="0" applyFont="1" applyFill="1" applyBorder="1" applyAlignment="1">
      <alignment horizontal="center" vertical="center"/>
    </xf>
    <xf numFmtId="2" fontId="18" fillId="15" borderId="18" xfId="0" applyNumberFormat="1" applyFont="1" applyFill="1" applyBorder="1" applyAlignment="1">
      <alignment horizontal="center" vertical="center"/>
    </xf>
    <xf numFmtId="2" fontId="0" fillId="19" borderId="18" xfId="0" applyNumberFormat="1" applyFill="1" applyBorder="1" applyAlignment="1">
      <alignment horizontal="center" vertical="center"/>
    </xf>
    <xf numFmtId="0" fontId="37" fillId="19" borderId="18" xfId="0" applyFont="1" applyFill="1" applyBorder="1" applyAlignment="1">
      <alignment horizontal="center" vertical="center"/>
    </xf>
    <xf numFmtId="2" fontId="37" fillId="19" borderId="18" xfId="0" applyNumberFormat="1" applyFont="1" applyFill="1" applyBorder="1" applyAlignment="1">
      <alignment horizontal="center" vertical="center"/>
    </xf>
    <xf numFmtId="0" fontId="5" fillId="36" borderId="18" xfId="0" applyFont="1" applyFill="1" applyBorder="1" applyAlignment="1">
      <alignment horizontal="center" vertical="center"/>
    </xf>
    <xf numFmtId="169" fontId="78" fillId="15" borderId="18" xfId="0" applyNumberFormat="1" applyFont="1" applyFill="1" applyBorder="1" applyAlignment="1">
      <alignment horizontal="center" vertical="center"/>
    </xf>
    <xf numFmtId="169" fontId="41" fillId="15" borderId="18" xfId="0" applyNumberFormat="1" applyFont="1" applyFill="1" applyBorder="1" applyAlignment="1">
      <alignment horizontal="center" vertical="center"/>
    </xf>
    <xf numFmtId="0" fontId="24" fillId="15" borderId="18" xfId="0" applyFont="1" applyFill="1" applyBorder="1" applyAlignment="1">
      <alignment vertical="center"/>
    </xf>
    <xf numFmtId="0" fontId="5" fillId="19" borderId="18" xfId="0" applyFont="1" applyFill="1" applyBorder="1" applyAlignment="1">
      <alignment horizontal="center" vertical="center"/>
    </xf>
    <xf numFmtId="0" fontId="25" fillId="15" borderId="18" xfId="0" applyFont="1" applyFill="1" applyBorder="1" applyAlignment="1">
      <alignment horizontal="center" vertical="center"/>
    </xf>
    <xf numFmtId="2" fontId="0" fillId="2" borderId="18" xfId="0" applyNumberFormat="1" applyFill="1" applyBorder="1" applyAlignment="1">
      <alignment horizontal="center" vertical="center"/>
    </xf>
    <xf numFmtId="0" fontId="0" fillId="16" borderId="18" xfId="0" applyFill="1" applyBorder="1" applyAlignment="1">
      <alignment horizontal="center" vertical="center" wrapText="1"/>
    </xf>
    <xf numFmtId="2" fontId="0" fillId="0" borderId="0" xfId="0" applyNumberFormat="1"/>
    <xf numFmtId="2" fontId="0" fillId="0" borderId="0" xfId="0" applyNumberFormat="1" applyAlignment="1">
      <alignment vertical="center"/>
    </xf>
    <xf numFmtId="0" fontId="0" fillId="10" borderId="18" xfId="0" applyFill="1" applyBorder="1" applyAlignment="1">
      <alignment horizontal="center" vertical="center"/>
    </xf>
    <xf numFmtId="2" fontId="0" fillId="10" borderId="18" xfId="0" applyNumberFormat="1" applyFill="1" applyBorder="1" applyAlignment="1">
      <alignment horizontal="center" vertical="center"/>
    </xf>
    <xf numFmtId="168" fontId="37" fillId="38" borderId="18" xfId="0" applyNumberFormat="1" applyFont="1" applyFill="1" applyBorder="1" applyAlignment="1">
      <alignment horizontal="center" vertical="center"/>
    </xf>
    <xf numFmtId="0" fontId="0" fillId="17" borderId="18" xfId="0" applyFill="1" applyBorder="1" applyAlignment="1">
      <alignment horizontal="center" vertical="center"/>
    </xf>
    <xf numFmtId="0" fontId="94" fillId="37" borderId="18" xfId="0" applyFont="1" applyFill="1" applyBorder="1" applyAlignment="1">
      <alignment horizontal="center" vertical="center"/>
    </xf>
    <xf numFmtId="2" fontId="94" fillId="37" borderId="18" xfId="0" applyNumberFormat="1" applyFont="1" applyFill="1" applyBorder="1" applyAlignment="1">
      <alignment horizontal="center" vertical="center"/>
    </xf>
    <xf numFmtId="0" fontId="10" fillId="34" borderId="18" xfId="0" applyFont="1" applyFill="1" applyBorder="1" applyAlignment="1">
      <alignment horizontal="center" vertical="center"/>
    </xf>
    <xf numFmtId="10" fontId="0" fillId="0" borderId="0" xfId="0" applyNumberFormat="1" applyAlignment="1">
      <alignment horizontal="center" vertical="center"/>
    </xf>
    <xf numFmtId="0" fontId="96" fillId="0" borderId="0" xfId="0" applyFont="1"/>
    <xf numFmtId="10" fontId="5" fillId="16" borderId="18" xfId="0" applyNumberFormat="1" applyFont="1" applyFill="1" applyBorder="1" applyAlignment="1">
      <alignment horizontal="center" vertical="center"/>
    </xf>
    <xf numFmtId="2" fontId="5" fillId="16" borderId="18" xfId="0" applyNumberFormat="1" applyFont="1" applyFill="1" applyBorder="1" applyAlignment="1">
      <alignment horizontal="center" vertical="center"/>
    </xf>
    <xf numFmtId="0" fontId="10" fillId="25" borderId="18" xfId="0" applyFont="1" applyFill="1" applyBorder="1" applyAlignment="1">
      <alignment horizontal="center" vertical="center"/>
    </xf>
    <xf numFmtId="2" fontId="10" fillId="25" borderId="18" xfId="0" applyNumberFormat="1" applyFont="1" applyFill="1" applyBorder="1" applyAlignment="1">
      <alignment horizontal="center" vertical="center"/>
    </xf>
    <xf numFmtId="0" fontId="5" fillId="2" borderId="18" xfId="0" applyFont="1" applyFill="1" applyBorder="1" applyAlignment="1">
      <alignment horizontal="center" vertical="center"/>
    </xf>
    <xf numFmtId="0" fontId="5" fillId="10" borderId="18" xfId="0" applyFont="1" applyFill="1" applyBorder="1" applyAlignment="1">
      <alignment horizontal="center" vertical="center"/>
    </xf>
    <xf numFmtId="2" fontId="5" fillId="10" borderId="18" xfId="0" applyNumberFormat="1" applyFont="1" applyFill="1" applyBorder="1" applyAlignment="1">
      <alignment horizontal="center" vertical="center"/>
    </xf>
    <xf numFmtId="10" fontId="0" fillId="2" borderId="18" xfId="0" applyNumberFormat="1" applyFill="1" applyBorder="1" applyAlignment="1">
      <alignment horizontal="center" vertical="center"/>
    </xf>
    <xf numFmtId="2" fontId="97" fillId="30" borderId="18" xfId="0" applyNumberFormat="1" applyFont="1" applyFill="1" applyBorder="1" applyAlignment="1">
      <alignment horizontal="center" vertical="center" wrapText="1"/>
    </xf>
    <xf numFmtId="0" fontId="10" fillId="30" borderId="0" xfId="0" applyFont="1" applyFill="1" applyAlignment="1">
      <alignment horizontal="center" vertical="center"/>
    </xf>
    <xf numFmtId="0" fontId="5" fillId="37" borderId="111" xfId="0" applyFont="1" applyFill="1" applyBorder="1" applyAlignment="1">
      <alignment horizontal="center" vertical="center"/>
    </xf>
    <xf numFmtId="0" fontId="5" fillId="37" borderId="135" xfId="0" applyFont="1" applyFill="1" applyBorder="1" applyAlignment="1">
      <alignment horizontal="center" vertical="center"/>
    </xf>
    <xf numFmtId="0" fontId="14" fillId="37" borderId="135" xfId="0" applyFont="1" applyFill="1" applyBorder="1" applyAlignment="1">
      <alignment horizontal="center" vertical="center"/>
    </xf>
    <xf numFmtId="0" fontId="12" fillId="37" borderId="111" xfId="0" applyFont="1" applyFill="1" applyBorder="1" applyAlignment="1">
      <alignment horizontal="center" vertical="center"/>
    </xf>
    <xf numFmtId="0" fontId="0" fillId="2" borderId="110" xfId="0" applyFill="1" applyBorder="1" applyAlignment="1">
      <alignment horizontal="center" vertical="center"/>
    </xf>
    <xf numFmtId="0" fontId="16" fillId="2" borderId="146" xfId="0" applyFont="1" applyFill="1" applyBorder="1" applyAlignment="1">
      <alignment horizontal="center" vertical="center"/>
    </xf>
    <xf numFmtId="0" fontId="12" fillId="2" borderId="145" xfId="0" applyFont="1" applyFill="1" applyBorder="1" applyAlignment="1">
      <alignment horizontal="center" vertical="center" wrapText="1"/>
    </xf>
    <xf numFmtId="0" fontId="16" fillId="0" borderId="6" xfId="0" applyFont="1" applyBorder="1" applyAlignment="1">
      <alignment horizontal="center" vertical="center"/>
    </xf>
    <xf numFmtId="0" fontId="96" fillId="2" borderId="110" xfId="0" applyFont="1" applyFill="1" applyBorder="1" applyAlignment="1">
      <alignment horizontal="center" vertical="center"/>
    </xf>
    <xf numFmtId="2" fontId="0" fillId="2" borderId="48" xfId="0" applyNumberFormat="1" applyFill="1" applyBorder="1" applyAlignment="1">
      <alignment horizontal="center" vertical="center"/>
    </xf>
    <xf numFmtId="0" fontId="95" fillId="19" borderId="133" xfId="0" applyFont="1" applyFill="1" applyBorder="1" applyAlignment="1">
      <alignment horizontal="center" vertical="center"/>
    </xf>
    <xf numFmtId="0" fontId="95" fillId="19" borderId="157" xfId="0" applyFont="1" applyFill="1" applyBorder="1" applyAlignment="1">
      <alignment horizontal="center" vertical="center"/>
    </xf>
    <xf numFmtId="9" fontId="5" fillId="17" borderId="4" xfId="0" applyNumberFormat="1" applyFont="1" applyFill="1" applyBorder="1" applyAlignment="1">
      <alignment horizontal="left" vertical="center"/>
    </xf>
    <xf numFmtId="10" fontId="10" fillId="15" borderId="4" xfId="0" applyNumberFormat="1" applyFont="1" applyFill="1" applyBorder="1" applyAlignment="1">
      <alignment horizontal="left" vertical="center"/>
    </xf>
    <xf numFmtId="0" fontId="10" fillId="15" borderId="2" xfId="0" applyFont="1" applyFill="1" applyBorder="1" applyAlignment="1">
      <alignment horizontal="right" vertical="center"/>
    </xf>
    <xf numFmtId="0" fontId="0" fillId="2" borderId="101" xfId="0" applyFill="1" applyBorder="1" applyAlignment="1">
      <alignment horizontal="center" vertical="center"/>
    </xf>
    <xf numFmtId="0" fontId="96" fillId="2" borderId="101" xfId="0" applyFont="1" applyFill="1" applyBorder="1" applyAlignment="1">
      <alignment horizontal="center" vertical="center"/>
    </xf>
    <xf numFmtId="0" fontId="5" fillId="0" borderId="30" xfId="0" applyFont="1" applyBorder="1" applyAlignment="1">
      <alignment horizontal="center" vertical="center"/>
    </xf>
    <xf numFmtId="2" fontId="0" fillId="16" borderId="143" xfId="0" applyNumberFormat="1" applyFill="1" applyBorder="1" applyAlignment="1">
      <alignment horizontal="center" vertical="center"/>
    </xf>
    <xf numFmtId="2" fontId="0" fillId="16" borderId="122" xfId="0" applyNumberFormat="1" applyFill="1" applyBorder="1" applyAlignment="1">
      <alignment horizontal="center" vertical="center"/>
    </xf>
    <xf numFmtId="0" fontId="12" fillId="0" borderId="6" xfId="0" applyFont="1" applyBorder="1" applyAlignment="1">
      <alignment horizontal="center" vertical="center" wrapText="1"/>
    </xf>
    <xf numFmtId="0" fontId="16" fillId="0" borderId="6" xfId="0" applyFont="1" applyBorder="1" applyAlignment="1">
      <alignment horizontal="center" vertical="center" wrapText="1"/>
    </xf>
    <xf numFmtId="0" fontId="11" fillId="15" borderId="2" xfId="0" applyFont="1" applyFill="1" applyBorder="1" applyAlignment="1">
      <alignment horizontal="center" vertical="center"/>
    </xf>
    <xf numFmtId="10" fontId="0" fillId="0" borderId="18" xfId="0" applyNumberFormat="1" applyBorder="1" applyAlignment="1">
      <alignment horizontal="center" vertical="center"/>
    </xf>
    <xf numFmtId="2" fontId="15" fillId="34" borderId="18" xfId="0" applyNumberFormat="1" applyFont="1" applyFill="1" applyBorder="1" applyAlignment="1">
      <alignment horizontal="center" vertical="center"/>
    </xf>
    <xf numFmtId="0" fontId="36" fillId="34" borderId="18" xfId="0" applyFont="1" applyFill="1" applyBorder="1" applyAlignment="1">
      <alignment horizontal="center" vertical="center" wrapText="1"/>
    </xf>
    <xf numFmtId="0" fontId="24" fillId="15" borderId="18" xfId="0" applyFont="1" applyFill="1" applyBorder="1" applyAlignment="1">
      <alignment horizontal="center" vertical="center" wrapText="1"/>
    </xf>
    <xf numFmtId="0" fontId="51" fillId="34" borderId="18" xfId="0" applyFont="1" applyFill="1" applyBorder="1" applyAlignment="1">
      <alignment horizontal="center" vertical="center" wrapText="1"/>
    </xf>
    <xf numFmtId="2" fontId="51" fillId="34" borderId="18" xfId="0" applyNumberFormat="1" applyFont="1" applyFill="1" applyBorder="1" applyAlignment="1">
      <alignment horizontal="center" vertical="center"/>
    </xf>
    <xf numFmtId="2" fontId="3" fillId="19" borderId="18" xfId="0" applyNumberFormat="1" applyFont="1" applyFill="1" applyBorder="1" applyAlignment="1">
      <alignment horizontal="center" vertical="center"/>
    </xf>
    <xf numFmtId="2" fontId="3" fillId="16" borderId="48" xfId="0" applyNumberFormat="1" applyFont="1" applyFill="1" applyBorder="1" applyAlignment="1">
      <alignment horizontal="center" vertical="center"/>
    </xf>
    <xf numFmtId="10" fontId="3" fillId="2" borderId="18" xfId="0" applyNumberFormat="1" applyFont="1" applyFill="1" applyBorder="1" applyAlignment="1">
      <alignment horizontal="center" vertical="center"/>
    </xf>
    <xf numFmtId="165" fontId="51" fillId="16" borderId="18" xfId="0" applyNumberFormat="1" applyFont="1" applyFill="1" applyBorder="1" applyAlignment="1">
      <alignment horizontal="center" vertical="center"/>
    </xf>
    <xf numFmtId="0" fontId="5" fillId="2" borderId="18" xfId="0" applyFont="1" applyFill="1" applyBorder="1" applyAlignment="1">
      <alignment horizontal="center" vertical="center" wrapText="1"/>
    </xf>
    <xf numFmtId="0" fontId="12" fillId="10" borderId="18" xfId="0" applyFont="1" applyFill="1" applyBorder="1" applyAlignment="1">
      <alignment horizontal="center" vertical="center"/>
    </xf>
    <xf numFmtId="10" fontId="5" fillId="37" borderId="110" xfId="0" applyNumberFormat="1" applyFont="1" applyFill="1" applyBorder="1" applyAlignment="1">
      <alignment horizontal="center" vertical="center"/>
    </xf>
    <xf numFmtId="10" fontId="5" fillId="37" borderId="133" xfId="0" applyNumberFormat="1" applyFont="1" applyFill="1" applyBorder="1" applyAlignment="1">
      <alignment horizontal="center" vertical="center"/>
    </xf>
    <xf numFmtId="2" fontId="3" fillId="6" borderId="18" xfId="0" applyNumberFormat="1" applyFont="1" applyFill="1" applyBorder="1" applyAlignment="1">
      <alignment horizontal="center" vertical="center"/>
    </xf>
    <xf numFmtId="0" fontId="75" fillId="37" borderId="18" xfId="0" applyFont="1" applyFill="1" applyBorder="1" applyAlignment="1">
      <alignment horizontal="center" vertical="center"/>
    </xf>
    <xf numFmtId="0" fontId="75" fillId="16" borderId="18" xfId="0" applyFont="1" applyFill="1" applyBorder="1" applyAlignment="1">
      <alignment horizontal="center" vertical="center"/>
    </xf>
    <xf numFmtId="2" fontId="94" fillId="16" borderId="18" xfId="0" applyNumberFormat="1" applyFont="1" applyFill="1" applyBorder="1" applyAlignment="1">
      <alignment horizontal="center" vertical="center"/>
    </xf>
    <xf numFmtId="0" fontId="0" fillId="21" borderId="18" xfId="0" applyFill="1" applyBorder="1" applyAlignment="1">
      <alignment horizontal="center" vertical="center" wrapText="1"/>
    </xf>
    <xf numFmtId="2" fontId="0" fillId="16" borderId="59" xfId="0" applyNumberFormat="1" applyFill="1" applyBorder="1" applyAlignment="1">
      <alignment horizontal="center" vertical="center"/>
    </xf>
    <xf numFmtId="2" fontId="0" fillId="2" borderId="59" xfId="0" applyNumberFormat="1" applyFill="1" applyBorder="1" applyAlignment="1">
      <alignment horizontal="center" vertical="center"/>
    </xf>
    <xf numFmtId="2" fontId="0" fillId="21" borderId="59" xfId="0" applyNumberFormat="1" applyFill="1" applyBorder="1" applyAlignment="1">
      <alignment horizontal="center" vertical="center"/>
    </xf>
    <xf numFmtId="0" fontId="3" fillId="0" borderId="6" xfId="0" applyFont="1" applyBorder="1" applyAlignment="1">
      <alignment horizontal="center" vertical="center" wrapText="1"/>
    </xf>
    <xf numFmtId="2" fontId="5" fillId="2" borderId="18" xfId="0" applyNumberFormat="1" applyFont="1" applyFill="1" applyBorder="1" applyAlignment="1">
      <alignment horizontal="center" vertical="center"/>
    </xf>
    <xf numFmtId="0" fontId="5" fillId="2" borderId="101" xfId="0" applyFont="1" applyFill="1" applyBorder="1" applyAlignment="1">
      <alignment horizontal="center" vertical="center"/>
    </xf>
    <xf numFmtId="2" fontId="5" fillId="2" borderId="48" xfId="0" applyNumberFormat="1" applyFont="1" applyFill="1" applyBorder="1" applyAlignment="1">
      <alignment horizontal="center" vertical="center"/>
    </xf>
    <xf numFmtId="2" fontId="5" fillId="16" borderId="143" xfId="0" applyNumberFormat="1" applyFont="1" applyFill="1" applyBorder="1" applyAlignment="1">
      <alignment horizontal="center" vertical="center"/>
    </xf>
    <xf numFmtId="2" fontId="5" fillId="16" borderId="122" xfId="0" applyNumberFormat="1" applyFont="1" applyFill="1" applyBorder="1" applyAlignment="1">
      <alignment horizontal="center" vertical="center"/>
    </xf>
    <xf numFmtId="0" fontId="5" fillId="2" borderId="110" xfId="0" applyFont="1" applyFill="1" applyBorder="1" applyAlignment="1">
      <alignment horizontal="center" vertical="center"/>
    </xf>
    <xf numFmtId="0" fontId="12" fillId="2" borderId="101" xfId="0" applyFont="1" applyFill="1" applyBorder="1" applyAlignment="1">
      <alignment horizontal="center" vertical="center"/>
    </xf>
    <xf numFmtId="0" fontId="12" fillId="2" borderId="110" xfId="0" applyFont="1" applyFill="1" applyBorder="1" applyAlignment="1">
      <alignment horizontal="center" vertical="center"/>
    </xf>
    <xf numFmtId="0" fontId="24" fillId="15" borderId="2" xfId="0" applyFont="1" applyFill="1" applyBorder="1" applyAlignment="1">
      <alignment horizontal="right" vertical="center"/>
    </xf>
    <xf numFmtId="10" fontId="11" fillId="15" borderId="4" xfId="0" applyNumberFormat="1" applyFont="1" applyFill="1" applyBorder="1" applyAlignment="1">
      <alignment horizontal="left" vertical="center"/>
    </xf>
    <xf numFmtId="10" fontId="18" fillId="15" borderId="4" xfId="0" applyNumberFormat="1" applyFont="1" applyFill="1" applyBorder="1" applyAlignment="1">
      <alignment horizontal="left" vertical="center"/>
    </xf>
    <xf numFmtId="9" fontId="3" fillId="17" borderId="4" xfId="0" applyNumberFormat="1" applyFont="1" applyFill="1" applyBorder="1" applyAlignment="1">
      <alignment horizontal="left" vertical="center"/>
    </xf>
    <xf numFmtId="9" fontId="13" fillId="17" borderId="4" xfId="0" applyNumberFormat="1" applyFont="1" applyFill="1" applyBorder="1" applyAlignment="1">
      <alignment horizontal="left" vertical="center"/>
    </xf>
    <xf numFmtId="0" fontId="11" fillId="15" borderId="2" xfId="0" applyFont="1" applyFill="1" applyBorder="1" applyAlignment="1">
      <alignment horizontal="right" vertical="center"/>
    </xf>
    <xf numFmtId="10" fontId="3" fillId="17" borderId="4" xfId="0" applyNumberFormat="1" applyFont="1" applyFill="1" applyBorder="1" applyAlignment="1">
      <alignment horizontal="left" vertical="center"/>
    </xf>
    <xf numFmtId="0" fontId="13" fillId="2" borderId="146" xfId="0" applyFont="1" applyFill="1" applyBorder="1" applyAlignment="1">
      <alignment horizontal="center" vertical="center"/>
    </xf>
    <xf numFmtId="0" fontId="54" fillId="2" borderId="146" xfId="0" applyFont="1" applyFill="1" applyBorder="1" applyAlignment="1">
      <alignment horizontal="center" vertical="center"/>
    </xf>
    <xf numFmtId="174" fontId="5" fillId="10" borderId="18" xfId="0" applyNumberFormat="1" applyFont="1" applyFill="1" applyBorder="1" applyAlignment="1">
      <alignment horizontal="center" vertical="center"/>
    </xf>
    <xf numFmtId="0" fontId="5" fillId="2" borderId="145" xfId="0" applyFont="1" applyFill="1" applyBorder="1" applyAlignment="1">
      <alignment horizontal="center" vertical="center" wrapText="1"/>
    </xf>
    <xf numFmtId="9" fontId="3" fillId="17" borderId="4" xfId="0" applyNumberFormat="1" applyFont="1" applyFill="1" applyBorder="1" applyAlignment="1">
      <alignment horizontal="left" vertical="top"/>
    </xf>
    <xf numFmtId="0" fontId="14" fillId="0" borderId="30" xfId="0" applyFont="1" applyBorder="1" applyAlignment="1">
      <alignment horizontal="center" vertical="center" wrapText="1"/>
    </xf>
    <xf numFmtId="10" fontId="18" fillId="15" borderId="4" xfId="0" applyNumberFormat="1" applyFont="1" applyFill="1" applyBorder="1" applyAlignment="1">
      <alignment horizontal="center" vertical="center"/>
    </xf>
    <xf numFmtId="10" fontId="11" fillId="15" borderId="4" xfId="0" applyNumberFormat="1" applyFont="1" applyFill="1" applyBorder="1" applyAlignment="1">
      <alignment horizontal="center" vertical="center"/>
    </xf>
    <xf numFmtId="9" fontId="3" fillId="17" borderId="4" xfId="0" applyNumberFormat="1" applyFont="1" applyFill="1" applyBorder="1" applyAlignment="1">
      <alignment horizontal="center" vertical="center"/>
    </xf>
    <xf numFmtId="10" fontId="3" fillId="17" borderId="4" xfId="0" applyNumberFormat="1" applyFont="1" applyFill="1" applyBorder="1" applyAlignment="1">
      <alignment horizontal="center" vertical="center"/>
    </xf>
    <xf numFmtId="0" fontId="12" fillId="0" borderId="30" xfId="0" applyFont="1" applyBorder="1" applyAlignment="1">
      <alignment horizontal="center" vertical="center" wrapText="1"/>
    </xf>
    <xf numFmtId="0" fontId="54" fillId="0" borderId="6" xfId="0" applyFont="1" applyBorder="1" applyAlignment="1">
      <alignment horizontal="center" vertical="center" wrapText="1"/>
    </xf>
    <xf numFmtId="0" fontId="3" fillId="0" borderId="30" xfId="0" applyFont="1" applyBorder="1" applyAlignment="1">
      <alignment horizontal="center" vertical="center"/>
    </xf>
    <xf numFmtId="0" fontId="56" fillId="2" borderId="146" xfId="0" applyFont="1" applyFill="1" applyBorder="1" applyAlignment="1">
      <alignment horizontal="center" vertical="center"/>
    </xf>
    <xf numFmtId="0" fontId="12" fillId="2" borderId="101" xfId="0" applyFont="1" applyFill="1" applyBorder="1" applyAlignment="1">
      <alignment horizontal="center" vertical="center" wrapText="1"/>
    </xf>
    <xf numFmtId="2" fontId="10" fillId="30" borderId="0" xfId="0" applyNumberFormat="1" applyFont="1" applyFill="1" applyAlignment="1">
      <alignment horizontal="center" vertical="center"/>
    </xf>
    <xf numFmtId="0" fontId="0" fillId="2" borderId="0" xfId="0" applyFill="1" applyAlignment="1">
      <alignment horizontal="center" vertical="center" wrapText="1"/>
    </xf>
    <xf numFmtId="2" fontId="0" fillId="2" borderId="0" xfId="0" applyNumberFormat="1" applyFill="1" applyAlignment="1">
      <alignment horizontal="center" vertical="center"/>
    </xf>
    <xf numFmtId="2" fontId="0" fillId="2" borderId="101" xfId="0" applyNumberFormat="1" applyFill="1" applyBorder="1" applyAlignment="1">
      <alignment horizontal="center" vertical="center"/>
    </xf>
    <xf numFmtId="10" fontId="0" fillId="2" borderId="46" xfId="0" applyNumberFormat="1" applyFill="1" applyBorder="1" applyAlignment="1">
      <alignment horizontal="center" vertical="center"/>
    </xf>
    <xf numFmtId="2" fontId="0" fillId="10" borderId="154" xfId="0" applyNumberFormat="1" applyFill="1" applyBorder="1" applyAlignment="1">
      <alignment horizontal="center" vertical="center"/>
    </xf>
    <xf numFmtId="0" fontId="0" fillId="10" borderId="118" xfId="0" applyFill="1" applyBorder="1" applyAlignment="1">
      <alignment horizontal="center" vertical="center" wrapText="1"/>
    </xf>
    <xf numFmtId="2" fontId="73" fillId="32" borderId="18" xfId="0" applyNumberFormat="1" applyFont="1" applyFill="1" applyBorder="1" applyAlignment="1">
      <alignment horizontal="center" vertical="center" wrapText="1"/>
    </xf>
    <xf numFmtId="0" fontId="0" fillId="0" borderId="0" xfId="0" applyAlignment="1">
      <alignment horizontal="right" vertical="center"/>
    </xf>
    <xf numFmtId="174" fontId="0" fillId="0" borderId="0" xfId="0" applyNumberFormat="1"/>
    <xf numFmtId="0" fontId="5" fillId="16" borderId="18" xfId="0" applyFont="1" applyFill="1" applyBorder="1" applyAlignment="1">
      <alignment horizontal="center" vertical="center" wrapText="1"/>
    </xf>
    <xf numFmtId="0" fontId="16" fillId="37" borderId="18" xfId="0" applyFont="1" applyFill="1" applyBorder="1" applyAlignment="1">
      <alignment horizontal="center" vertical="center" wrapText="1"/>
    </xf>
    <xf numFmtId="0" fontId="16" fillId="6" borderId="18" xfId="0" applyFont="1" applyFill="1" applyBorder="1" applyAlignment="1">
      <alignment horizontal="center" vertical="center" wrapText="1"/>
    </xf>
    <xf numFmtId="0" fontId="16" fillId="37" borderId="145" xfId="0" applyFont="1" applyFill="1" applyBorder="1" applyAlignment="1">
      <alignment horizontal="center" vertical="center" wrapText="1"/>
    </xf>
    <xf numFmtId="0" fontId="16" fillId="6" borderId="146" xfId="0" applyFont="1" applyFill="1" applyBorder="1" applyAlignment="1">
      <alignment horizontal="center" vertical="center" wrapText="1"/>
    </xf>
    <xf numFmtId="0" fontId="5" fillId="16" borderId="134" xfId="0" applyFont="1" applyFill="1" applyBorder="1" applyAlignment="1">
      <alignment horizontal="center" vertical="center"/>
    </xf>
    <xf numFmtId="0" fontId="16" fillId="16" borderId="134" xfId="0" applyFont="1" applyFill="1" applyBorder="1" applyAlignment="1">
      <alignment horizontal="center" vertical="center" wrapText="1"/>
    </xf>
    <xf numFmtId="0" fontId="16" fillId="16" borderId="135" xfId="0" applyFont="1" applyFill="1" applyBorder="1" applyAlignment="1">
      <alignment horizontal="center" vertical="center"/>
    </xf>
    <xf numFmtId="0" fontId="16" fillId="37" borderId="118" xfId="0" applyFont="1" applyFill="1" applyBorder="1" applyAlignment="1">
      <alignment horizontal="center" vertical="center" wrapText="1"/>
    </xf>
    <xf numFmtId="0" fontId="16" fillId="6" borderId="154" xfId="0" applyFont="1" applyFill="1" applyBorder="1" applyAlignment="1">
      <alignment horizontal="center" vertical="center" wrapText="1"/>
    </xf>
    <xf numFmtId="0" fontId="3" fillId="2" borderId="145" xfId="0" applyFont="1" applyFill="1" applyBorder="1" applyAlignment="1">
      <alignment horizontal="center" vertical="center"/>
    </xf>
    <xf numFmtId="0" fontId="52" fillId="2" borderId="1" xfId="0" applyFont="1" applyFill="1" applyBorder="1" applyAlignment="1">
      <alignment horizontal="center" vertical="center"/>
    </xf>
    <xf numFmtId="10" fontId="0" fillId="2" borderId="0" xfId="0" applyNumberFormat="1" applyFill="1" applyAlignment="1">
      <alignment horizontal="center" vertical="center"/>
    </xf>
    <xf numFmtId="0" fontId="0" fillId="2" borderId="0" xfId="0" applyFill="1" applyAlignment="1">
      <alignment horizontal="center" vertical="center"/>
    </xf>
    <xf numFmtId="0" fontId="100" fillId="0" borderId="0" xfId="0" applyFont="1"/>
    <xf numFmtId="3" fontId="100" fillId="0" borderId="0" xfId="0" applyNumberFormat="1" applyFont="1" applyAlignment="1">
      <alignment horizontal="center" vertical="center"/>
    </xf>
    <xf numFmtId="0" fontId="12" fillId="31" borderId="37" xfId="0" applyFont="1" applyFill="1" applyBorder="1" applyAlignment="1">
      <alignment horizontal="center" vertical="center" wrapText="1"/>
    </xf>
    <xf numFmtId="172" fontId="100" fillId="0" borderId="0" xfId="0" applyNumberFormat="1" applyFont="1" applyAlignment="1">
      <alignment horizontal="center"/>
    </xf>
    <xf numFmtId="0" fontId="0" fillId="2" borderId="18" xfId="0" applyFill="1" applyBorder="1" applyAlignment="1">
      <alignment horizontal="center" vertical="center"/>
    </xf>
    <xf numFmtId="0" fontId="0" fillId="2" borderId="49" xfId="0" applyFill="1" applyBorder="1" applyAlignment="1">
      <alignment horizontal="center" vertical="center"/>
    </xf>
    <xf numFmtId="0" fontId="0" fillId="2" borderId="165" xfId="0" applyFill="1" applyBorder="1" applyAlignment="1">
      <alignment horizontal="center" vertical="center"/>
    </xf>
    <xf numFmtId="0" fontId="0" fillId="2" borderId="34" xfId="0" applyFill="1" applyBorder="1" applyAlignment="1">
      <alignment horizontal="center" vertical="center"/>
    </xf>
    <xf numFmtId="0" fontId="102" fillId="0" borderId="0" xfId="0" applyFont="1"/>
    <xf numFmtId="3" fontId="102" fillId="0" borderId="0" xfId="0" applyNumberFormat="1" applyFont="1" applyAlignment="1">
      <alignment horizontal="center" vertical="center"/>
    </xf>
    <xf numFmtId="3" fontId="102" fillId="0" borderId="0" xfId="0" applyNumberFormat="1" applyFont="1"/>
    <xf numFmtId="3" fontId="102" fillId="0" borderId="0" xfId="0" applyNumberFormat="1" applyFont="1" applyAlignment="1">
      <alignment vertical="center"/>
    </xf>
    <xf numFmtId="0" fontId="0" fillId="31" borderId="0" xfId="0" applyFill="1"/>
    <xf numFmtId="0" fontId="0" fillId="31" borderId="0" xfId="0" applyFill="1" applyAlignment="1">
      <alignment horizontal="center" vertical="center"/>
    </xf>
    <xf numFmtId="9" fontId="13" fillId="2" borderId="145" xfId="0" applyNumberFormat="1" applyFont="1" applyFill="1" applyBorder="1" applyAlignment="1">
      <alignment horizontal="center" vertical="center"/>
    </xf>
    <xf numFmtId="9" fontId="54" fillId="2" borderId="145" xfId="0" applyNumberFormat="1" applyFont="1" applyFill="1" applyBorder="1" applyAlignment="1">
      <alignment horizontal="center" vertical="center"/>
    </xf>
    <xf numFmtId="0" fontId="52" fillId="2" borderId="73" xfId="0" applyFont="1" applyFill="1" applyBorder="1" applyAlignment="1">
      <alignment horizontal="center" vertical="center"/>
    </xf>
    <xf numFmtId="169" fontId="13" fillId="2" borderId="145" xfId="0" applyNumberFormat="1" applyFont="1" applyFill="1" applyBorder="1" applyAlignment="1">
      <alignment horizontal="center" vertical="center"/>
    </xf>
    <xf numFmtId="0" fontId="42" fillId="15" borderId="9" xfId="0" applyFont="1" applyFill="1" applyBorder="1" applyAlignment="1">
      <alignment horizontal="center" vertical="center"/>
    </xf>
    <xf numFmtId="169" fontId="66" fillId="15" borderId="114" xfId="0" applyNumberFormat="1" applyFont="1" applyFill="1" applyBorder="1" applyAlignment="1">
      <alignment horizontal="center" vertical="center"/>
    </xf>
    <xf numFmtId="10" fontId="52" fillId="15" borderId="47" xfId="0" applyNumberFormat="1" applyFont="1" applyFill="1" applyBorder="1" applyAlignment="1">
      <alignment horizontal="center" vertical="center"/>
    </xf>
    <xf numFmtId="3" fontId="33" fillId="13" borderId="4" xfId="0" applyNumberFormat="1" applyFont="1" applyFill="1" applyBorder="1" applyAlignment="1">
      <alignment horizontal="center" vertical="center"/>
    </xf>
    <xf numFmtId="3" fontId="39" fillId="13" borderId="4" xfId="0" applyNumberFormat="1" applyFont="1" applyFill="1" applyBorder="1" applyAlignment="1">
      <alignment horizontal="center" vertical="center"/>
    </xf>
    <xf numFmtId="3" fontId="54" fillId="5" borderId="1" xfId="0" applyNumberFormat="1" applyFont="1" applyFill="1" applyBorder="1" applyAlignment="1">
      <alignment horizontal="center" vertical="center"/>
    </xf>
    <xf numFmtId="0" fontId="14" fillId="0" borderId="18" xfId="0" applyFont="1" applyBorder="1" applyAlignment="1">
      <alignment horizontal="center" vertical="center" wrapText="1"/>
    </xf>
    <xf numFmtId="0" fontId="9" fillId="0" borderId="18" xfId="0" applyFont="1" applyBorder="1" applyAlignment="1">
      <alignment horizontal="center" vertical="center" wrapText="1"/>
    </xf>
    <xf numFmtId="0" fontId="13" fillId="2" borderId="18" xfId="0" applyFont="1" applyFill="1" applyBorder="1" applyAlignment="1">
      <alignment horizontal="center" vertical="center" wrapText="1"/>
    </xf>
    <xf numFmtId="2" fontId="3" fillId="2" borderId="18" xfId="0" applyNumberFormat="1" applyFont="1" applyFill="1" applyBorder="1" applyAlignment="1">
      <alignment horizontal="center" vertical="center"/>
    </xf>
    <xf numFmtId="0" fontId="13" fillId="16" borderId="18" xfId="0" applyFont="1" applyFill="1" applyBorder="1" applyAlignment="1">
      <alignment horizontal="center" vertical="center" wrapText="1"/>
    </xf>
    <xf numFmtId="169" fontId="3" fillId="16" borderId="18" xfId="0" applyNumberFormat="1" applyFont="1" applyFill="1" applyBorder="1" applyAlignment="1">
      <alignment horizontal="center" vertical="center"/>
    </xf>
    <xf numFmtId="0" fontId="10" fillId="30" borderId="18" xfId="0" applyFont="1" applyFill="1" applyBorder="1" applyAlignment="1">
      <alignment horizontal="center" vertical="center"/>
    </xf>
    <xf numFmtId="2" fontId="10" fillId="30" borderId="18" xfId="0" applyNumberFormat="1" applyFont="1" applyFill="1" applyBorder="1" applyAlignment="1">
      <alignment horizontal="center" vertical="center"/>
    </xf>
    <xf numFmtId="0" fontId="3" fillId="21" borderId="0" xfId="0" applyFont="1" applyFill="1" applyAlignment="1">
      <alignment horizontal="center" vertical="center"/>
    </xf>
    <xf numFmtId="10" fontId="0" fillId="21" borderId="0" xfId="0" applyNumberFormat="1" applyFill="1" applyAlignment="1">
      <alignment horizontal="center" vertical="center"/>
    </xf>
    <xf numFmtId="0" fontId="3" fillId="31" borderId="18" xfId="0" applyFont="1" applyFill="1" applyBorder="1" applyAlignment="1">
      <alignment horizontal="center" vertical="center" wrapText="1"/>
    </xf>
    <xf numFmtId="10" fontId="0" fillId="31" borderId="18" xfId="0" applyNumberFormat="1" applyFill="1" applyBorder="1" applyAlignment="1">
      <alignment horizontal="center" vertical="center"/>
    </xf>
    <xf numFmtId="0" fontId="0" fillId="2" borderId="18" xfId="0" applyFill="1" applyBorder="1"/>
    <xf numFmtId="9" fontId="0" fillId="2" borderId="18" xfId="0" applyNumberFormat="1" applyFill="1" applyBorder="1"/>
    <xf numFmtId="0" fontId="0" fillId="37" borderId="18" xfId="0" applyFill="1" applyBorder="1"/>
    <xf numFmtId="0" fontId="0" fillId="17" borderId="18" xfId="0" applyFill="1" applyBorder="1"/>
    <xf numFmtId="0" fontId="0" fillId="21" borderId="18" xfId="0" applyFill="1" applyBorder="1"/>
    <xf numFmtId="3" fontId="0" fillId="0" borderId="18" xfId="0" applyNumberFormat="1" applyBorder="1" applyAlignment="1">
      <alignment horizontal="center"/>
    </xf>
    <xf numFmtId="168" fontId="54" fillId="19" borderId="47" xfId="0" applyNumberFormat="1" applyFont="1" applyFill="1" applyBorder="1" applyAlignment="1">
      <alignment horizontal="center" vertical="center"/>
    </xf>
    <xf numFmtId="2" fontId="54" fillId="19" borderId="47" xfId="0" applyNumberFormat="1" applyFont="1" applyFill="1" applyBorder="1" applyAlignment="1">
      <alignment horizontal="center" vertical="center"/>
    </xf>
    <xf numFmtId="3" fontId="0" fillId="0" borderId="48" xfId="0" applyNumberFormat="1" applyBorder="1" applyAlignment="1">
      <alignment horizontal="center"/>
    </xf>
    <xf numFmtId="0" fontId="0" fillId="0" borderId="178" xfId="0" applyBorder="1" applyAlignment="1">
      <alignment horizontal="center" vertical="center" wrapText="1"/>
    </xf>
    <xf numFmtId="0" fontId="0" fillId="0" borderId="179" xfId="0" applyBorder="1"/>
    <xf numFmtId="3" fontId="5" fillId="2" borderId="171" xfId="0" applyNumberFormat="1" applyFont="1" applyFill="1" applyBorder="1" applyAlignment="1">
      <alignment horizontal="center"/>
    </xf>
    <xf numFmtId="0" fontId="5" fillId="2" borderId="174" xfId="0" applyFont="1" applyFill="1" applyBorder="1"/>
    <xf numFmtId="3" fontId="5" fillId="2" borderId="176" xfId="0" applyNumberFormat="1" applyFont="1" applyFill="1" applyBorder="1" applyAlignment="1">
      <alignment horizontal="center"/>
    </xf>
    <xf numFmtId="0" fontId="0" fillId="0" borderId="180" xfId="0" applyBorder="1"/>
    <xf numFmtId="3" fontId="16" fillId="17" borderId="182" xfId="0" applyNumberFormat="1" applyFont="1" applyFill="1" applyBorder="1" applyAlignment="1">
      <alignment horizontal="center" vertical="center"/>
    </xf>
    <xf numFmtId="0" fontId="5" fillId="19" borderId="183" xfId="0" applyFont="1" applyFill="1" applyBorder="1" applyAlignment="1">
      <alignment horizontal="center" vertical="center"/>
    </xf>
    <xf numFmtId="0" fontId="5" fillId="10" borderId="43" xfId="0" applyFont="1" applyFill="1" applyBorder="1" applyAlignment="1">
      <alignment horizontal="center" vertical="center"/>
    </xf>
    <xf numFmtId="0" fontId="9" fillId="19" borderId="183" xfId="0" applyFont="1" applyFill="1" applyBorder="1" applyAlignment="1">
      <alignment horizontal="center" vertical="center"/>
    </xf>
    <xf numFmtId="0" fontId="14" fillId="10" borderId="43" xfId="0" applyFont="1" applyFill="1" applyBorder="1" applyAlignment="1">
      <alignment horizontal="center" vertical="center"/>
    </xf>
    <xf numFmtId="3" fontId="5" fillId="2" borderId="170" xfId="0" applyNumberFormat="1" applyFont="1" applyFill="1" applyBorder="1" applyAlignment="1">
      <alignment horizontal="center" vertical="center"/>
    </xf>
    <xf numFmtId="0" fontId="14" fillId="2" borderId="43" xfId="0" applyFont="1" applyFill="1" applyBorder="1" applyAlignment="1">
      <alignment horizontal="center" vertical="center"/>
    </xf>
    <xf numFmtId="3" fontId="5" fillId="38" borderId="45" xfId="0" applyNumberFormat="1" applyFont="1" applyFill="1" applyBorder="1" applyAlignment="1">
      <alignment horizontal="center" vertical="center"/>
    </xf>
    <xf numFmtId="0" fontId="12" fillId="38" borderId="43" xfId="0" applyFont="1" applyFill="1" applyBorder="1" applyAlignment="1">
      <alignment horizontal="center" vertical="center"/>
    </xf>
    <xf numFmtId="3" fontId="5" fillId="19" borderId="184" xfId="0" applyNumberFormat="1" applyFont="1" applyFill="1" applyBorder="1" applyAlignment="1">
      <alignment horizontal="center" vertical="center"/>
    </xf>
    <xf numFmtId="3" fontId="0" fillId="14" borderId="186" xfId="0" applyNumberFormat="1" applyFill="1" applyBorder="1" applyAlignment="1">
      <alignment horizontal="center" vertical="center"/>
    </xf>
    <xf numFmtId="3" fontId="0" fillId="14" borderId="184" xfId="0" applyNumberFormat="1" applyFill="1" applyBorder="1" applyAlignment="1">
      <alignment horizontal="center" vertical="center"/>
    </xf>
    <xf numFmtId="9" fontId="5" fillId="38" borderId="184" xfId="0" applyNumberFormat="1" applyFont="1" applyFill="1" applyBorder="1" applyAlignment="1">
      <alignment horizontal="left" vertical="center"/>
    </xf>
    <xf numFmtId="9" fontId="5" fillId="19" borderId="184" xfId="0" applyNumberFormat="1" applyFont="1" applyFill="1" applyBorder="1" applyAlignment="1">
      <alignment horizontal="center" vertical="center"/>
    </xf>
    <xf numFmtId="9" fontId="5" fillId="10" borderId="184" xfId="0" applyNumberFormat="1" applyFont="1" applyFill="1" applyBorder="1" applyAlignment="1">
      <alignment horizontal="center" vertical="center"/>
    </xf>
    <xf numFmtId="3" fontId="5" fillId="2" borderId="179" xfId="0" applyNumberFormat="1" applyFont="1" applyFill="1" applyBorder="1" applyAlignment="1">
      <alignment horizontal="center" vertical="center"/>
    </xf>
    <xf numFmtId="3" fontId="5" fillId="17" borderId="45" xfId="0" applyNumberFormat="1" applyFont="1" applyFill="1" applyBorder="1" applyAlignment="1">
      <alignment horizontal="center" vertical="center"/>
    </xf>
    <xf numFmtId="0" fontId="9" fillId="2" borderId="181" xfId="0" applyFont="1" applyFill="1" applyBorder="1" applyAlignment="1">
      <alignment horizontal="center" vertical="center"/>
    </xf>
    <xf numFmtId="0" fontId="95" fillId="15" borderId="0" xfId="0" applyFont="1" applyFill="1" applyAlignment="1">
      <alignment horizontal="center" vertical="center" wrapText="1"/>
    </xf>
    <xf numFmtId="3" fontId="10" fillId="15" borderId="0" xfId="0" applyNumberFormat="1" applyFont="1" applyFill="1" applyAlignment="1">
      <alignment horizontal="center" vertical="center"/>
    </xf>
    <xf numFmtId="0" fontId="5" fillId="0" borderId="180" xfId="0" applyFont="1" applyBorder="1"/>
    <xf numFmtId="1" fontId="0" fillId="0" borderId="180" xfId="0" applyNumberFormat="1" applyBorder="1"/>
    <xf numFmtId="3" fontId="5" fillId="0" borderId="180" xfId="0" applyNumberFormat="1" applyFont="1" applyBorder="1"/>
    <xf numFmtId="3" fontId="0" fillId="0" borderId="180" xfId="0" applyNumberFormat="1" applyBorder="1"/>
    <xf numFmtId="0" fontId="0" fillId="0" borderId="197" xfId="0" applyBorder="1"/>
    <xf numFmtId="3" fontId="56" fillId="21" borderId="138" xfId="0" applyNumberFormat="1" applyFont="1" applyFill="1" applyBorder="1" applyAlignment="1" applyProtection="1">
      <alignment horizontal="center" vertical="center"/>
      <protection hidden="1"/>
    </xf>
    <xf numFmtId="3" fontId="37" fillId="0" borderId="0" xfId="0" applyNumberFormat="1" applyFont="1" applyAlignment="1">
      <alignment horizontal="center" vertical="center"/>
    </xf>
    <xf numFmtId="9" fontId="0" fillId="0" borderId="0" xfId="0" applyNumberFormat="1"/>
    <xf numFmtId="0" fontId="5" fillId="31" borderId="18" xfId="0" applyFont="1" applyFill="1" applyBorder="1" applyAlignment="1">
      <alignment vertical="center"/>
    </xf>
    <xf numFmtId="0" fontId="75" fillId="31" borderId="18" xfId="0" applyFont="1" applyFill="1" applyBorder="1" applyAlignment="1">
      <alignment horizontal="center" vertical="center"/>
    </xf>
    <xf numFmtId="169" fontId="75" fillId="31" borderId="18" xfId="0" applyNumberFormat="1" applyFont="1" applyFill="1" applyBorder="1" applyAlignment="1">
      <alignment horizontal="center" vertical="center"/>
    </xf>
    <xf numFmtId="2" fontId="75" fillId="31" borderId="18" xfId="0" applyNumberFormat="1" applyFont="1" applyFill="1" applyBorder="1" applyAlignment="1">
      <alignment horizontal="center" vertical="center"/>
    </xf>
    <xf numFmtId="0" fontId="75" fillId="31" borderId="18" xfId="0" applyFont="1" applyFill="1" applyBorder="1" applyAlignment="1">
      <alignment vertical="center"/>
    </xf>
    <xf numFmtId="0" fontId="5" fillId="31" borderId="18" xfId="0" applyFont="1" applyFill="1" applyBorder="1" applyAlignment="1">
      <alignment horizontal="center" vertical="center"/>
    </xf>
    <xf numFmtId="2" fontId="5" fillId="31" borderId="18" xfId="0" applyNumberFormat="1" applyFont="1" applyFill="1" applyBorder="1" applyAlignment="1">
      <alignment horizontal="center" vertical="center"/>
    </xf>
    <xf numFmtId="0" fontId="16" fillId="31" borderId="18" xfId="0" applyFont="1" applyFill="1" applyBorder="1" applyAlignment="1">
      <alignment horizontal="center" vertical="center"/>
    </xf>
    <xf numFmtId="0" fontId="0" fillId="31" borderId="18" xfId="0" applyFill="1" applyBorder="1" applyAlignment="1">
      <alignment horizontal="center" vertical="center"/>
    </xf>
    <xf numFmtId="2" fontId="0" fillId="31" borderId="18" xfId="0" applyNumberFormat="1" applyFill="1" applyBorder="1" applyAlignment="1">
      <alignment horizontal="center" vertical="center"/>
    </xf>
    <xf numFmtId="0" fontId="0" fillId="31" borderId="18" xfId="0" applyFill="1" applyBorder="1"/>
    <xf numFmtId="0" fontId="37" fillId="31" borderId="18" xfId="0" applyFont="1" applyFill="1" applyBorder="1" applyAlignment="1">
      <alignment horizontal="center" vertical="center"/>
    </xf>
    <xf numFmtId="0" fontId="51" fillId="31" borderId="18" xfId="0" applyFont="1" applyFill="1" applyBorder="1" applyAlignment="1">
      <alignment vertical="center"/>
    </xf>
    <xf numFmtId="2" fontId="3" fillId="2" borderId="49" xfId="0" applyNumberFormat="1" applyFont="1" applyFill="1" applyBorder="1" applyAlignment="1">
      <alignment horizontal="center" vertical="center"/>
    </xf>
    <xf numFmtId="2" fontId="54" fillId="2" borderId="49" xfId="0" applyNumberFormat="1" applyFont="1" applyFill="1" applyBorder="1" applyAlignment="1">
      <alignment horizontal="center" vertical="center"/>
    </xf>
    <xf numFmtId="0" fontId="3" fillId="2" borderId="18" xfId="0" applyFont="1" applyFill="1" applyBorder="1" applyAlignment="1">
      <alignment vertical="center"/>
    </xf>
    <xf numFmtId="0" fontId="13" fillId="2" borderId="49" xfId="0" applyFont="1" applyFill="1" applyBorder="1" applyAlignment="1">
      <alignment horizontal="center" vertical="center"/>
    </xf>
    <xf numFmtId="0" fontId="94" fillId="35" borderId="46" xfId="0" applyFont="1" applyFill="1" applyBorder="1" applyAlignment="1">
      <alignment horizontal="center" vertical="center" wrapText="1"/>
    </xf>
    <xf numFmtId="0" fontId="11" fillId="15" borderId="121" xfId="0" applyFont="1" applyFill="1" applyBorder="1" applyAlignment="1">
      <alignment horizontal="center" vertical="center" wrapText="1"/>
    </xf>
    <xf numFmtId="0" fontId="54" fillId="2" borderId="0" xfId="0" applyFont="1" applyFill="1" applyAlignment="1">
      <alignment horizontal="center" vertical="center"/>
    </xf>
    <xf numFmtId="10" fontId="17" fillId="13" borderId="18" xfId="0" applyNumberFormat="1" applyFont="1" applyFill="1" applyBorder="1" applyAlignment="1">
      <alignment horizontal="center" vertical="center"/>
    </xf>
    <xf numFmtId="2" fontId="88" fillId="16" borderId="58" xfId="0" applyNumberFormat="1" applyFont="1" applyFill="1" applyBorder="1" applyAlignment="1">
      <alignment horizontal="center" vertical="center"/>
    </xf>
    <xf numFmtId="0" fontId="5" fillId="8" borderId="18" xfId="0" applyFont="1" applyFill="1" applyBorder="1" applyAlignment="1">
      <alignment horizontal="center" vertical="center"/>
    </xf>
    <xf numFmtId="164" fontId="5" fillId="16" borderId="18" xfId="0" applyNumberFormat="1" applyFont="1" applyFill="1" applyBorder="1" applyAlignment="1">
      <alignment horizontal="center" vertical="center"/>
    </xf>
    <xf numFmtId="2" fontId="54" fillId="16" borderId="18" xfId="0" applyNumberFormat="1" applyFont="1" applyFill="1" applyBorder="1" applyAlignment="1">
      <alignment horizontal="center" vertical="center"/>
    </xf>
    <xf numFmtId="0" fontId="8" fillId="8" borderId="18" xfId="0" applyFont="1" applyFill="1" applyBorder="1" applyAlignment="1">
      <alignment horizontal="center" vertical="center"/>
    </xf>
    <xf numFmtId="0" fontId="54" fillId="18" borderId="59" xfId="0" applyFont="1" applyFill="1" applyBorder="1" applyAlignment="1" applyProtection="1">
      <alignment horizontal="center" vertical="center" wrapText="1"/>
      <protection hidden="1"/>
    </xf>
    <xf numFmtId="0" fontId="13" fillId="18" borderId="138" xfId="0" applyFont="1" applyFill="1" applyBorder="1" applyAlignment="1" applyProtection="1">
      <alignment horizontal="center" vertical="center" wrapText="1"/>
      <protection hidden="1"/>
    </xf>
    <xf numFmtId="0" fontId="18" fillId="15" borderId="84" xfId="0" applyFont="1" applyFill="1" applyBorder="1" applyAlignment="1">
      <alignment horizontal="center" vertical="top" wrapText="1"/>
    </xf>
    <xf numFmtId="3" fontId="81" fillId="2" borderId="9" xfId="0" applyNumberFormat="1" applyFont="1" applyFill="1" applyBorder="1" applyAlignment="1">
      <alignment horizontal="center" vertical="center"/>
    </xf>
    <xf numFmtId="0" fontId="64" fillId="33" borderId="18" xfId="0" applyFont="1" applyFill="1" applyBorder="1" applyAlignment="1">
      <alignment horizontal="center" vertical="center"/>
    </xf>
    <xf numFmtId="10" fontId="54" fillId="39" borderId="143" xfId="0" applyNumberFormat="1" applyFont="1" applyFill="1" applyBorder="1" applyAlignment="1">
      <alignment horizontal="center" vertical="center"/>
    </xf>
    <xf numFmtId="0" fontId="56" fillId="21" borderId="9" xfId="0" applyFont="1" applyFill="1" applyBorder="1" applyAlignment="1" applyProtection="1">
      <alignment horizontal="center" vertical="center"/>
      <protection hidden="1"/>
    </xf>
    <xf numFmtId="0" fontId="42" fillId="21" borderId="73" xfId="0" applyFont="1" applyFill="1" applyBorder="1" applyAlignment="1">
      <alignment horizontal="center" vertical="center" wrapText="1"/>
    </xf>
    <xf numFmtId="0" fontId="56" fillId="10" borderId="203" xfId="0" applyFont="1" applyFill="1" applyBorder="1" applyAlignment="1" applyProtection="1">
      <alignment horizontal="center" vertical="center"/>
      <protection hidden="1"/>
    </xf>
    <xf numFmtId="0" fontId="56" fillId="10" borderId="140" xfId="0" applyFont="1" applyFill="1" applyBorder="1" applyAlignment="1" applyProtection="1">
      <alignment horizontal="center" vertical="center"/>
      <protection hidden="1"/>
    </xf>
    <xf numFmtId="0" fontId="56" fillId="10" borderId="212" xfId="0" applyFont="1" applyFill="1" applyBorder="1" applyAlignment="1" applyProtection="1">
      <alignment horizontal="center" vertical="center"/>
      <protection hidden="1"/>
    </xf>
    <xf numFmtId="10" fontId="64" fillId="0" borderId="83" xfId="0" applyNumberFormat="1" applyFont="1" applyBorder="1" applyAlignment="1">
      <alignment horizontal="center" vertical="center"/>
    </xf>
    <xf numFmtId="0" fontId="14" fillId="18" borderId="84" xfId="0" applyFont="1" applyFill="1" applyBorder="1" applyAlignment="1">
      <alignment horizontal="center" vertical="center" wrapText="1"/>
    </xf>
    <xf numFmtId="3" fontId="81" fillId="2" borderId="222" xfId="0" applyNumberFormat="1" applyFont="1" applyFill="1" applyBorder="1" applyAlignment="1">
      <alignment horizontal="center" vertical="center"/>
    </xf>
    <xf numFmtId="10" fontId="64" fillId="0" borderId="223" xfId="0" applyNumberFormat="1" applyFont="1" applyBorder="1" applyAlignment="1">
      <alignment horizontal="center" vertical="center"/>
    </xf>
    <xf numFmtId="0" fontId="13" fillId="39" borderId="121" xfId="0" applyFont="1" applyFill="1" applyBorder="1" applyAlignment="1">
      <alignment horizontal="center" vertical="center" wrapText="1"/>
    </xf>
    <xf numFmtId="0" fontId="58" fillId="32" borderId="18" xfId="0" applyFont="1" applyFill="1" applyBorder="1" applyAlignment="1">
      <alignment horizontal="center" vertical="center"/>
    </xf>
    <xf numFmtId="0" fontId="58" fillId="7" borderId="18" xfId="0" applyFont="1" applyFill="1" applyBorder="1" applyAlignment="1">
      <alignment horizontal="center" vertical="center"/>
    </xf>
    <xf numFmtId="2" fontId="58" fillId="16" borderId="18" xfId="0" applyNumberFormat="1" applyFont="1" applyFill="1" applyBorder="1" applyAlignment="1">
      <alignment horizontal="center" vertical="center"/>
    </xf>
    <xf numFmtId="0" fontId="42" fillId="15" borderId="115" xfId="0" applyFont="1" applyFill="1" applyBorder="1" applyAlignment="1">
      <alignment horizontal="center" vertical="center"/>
    </xf>
    <xf numFmtId="165" fontId="42" fillId="16" borderId="18" xfId="0" applyNumberFormat="1" applyFont="1" applyFill="1" applyBorder="1" applyAlignment="1">
      <alignment horizontal="center" vertical="center"/>
    </xf>
    <xf numFmtId="3" fontId="58" fillId="16" borderId="18" xfId="0" applyNumberFormat="1" applyFont="1" applyFill="1" applyBorder="1" applyAlignment="1">
      <alignment horizontal="center" vertical="center"/>
    </xf>
    <xf numFmtId="3" fontId="42" fillId="33" borderId="18" xfId="0" applyNumberFormat="1" applyFont="1" applyFill="1" applyBorder="1" applyAlignment="1">
      <alignment horizontal="center" vertical="center"/>
    </xf>
    <xf numFmtId="165" fontId="42" fillId="33" borderId="18" xfId="0" applyNumberFormat="1" applyFont="1" applyFill="1" applyBorder="1" applyAlignment="1">
      <alignment horizontal="center" vertical="center"/>
    </xf>
    <xf numFmtId="3" fontId="69" fillId="32" borderId="18" xfId="0" applyNumberFormat="1" applyFont="1" applyFill="1" applyBorder="1" applyAlignment="1">
      <alignment horizontal="center" vertical="center"/>
    </xf>
    <xf numFmtId="3" fontId="69" fillId="7" borderId="18" xfId="0" applyNumberFormat="1" applyFont="1" applyFill="1" applyBorder="1" applyAlignment="1">
      <alignment horizontal="center" vertical="center"/>
    </xf>
    <xf numFmtId="3" fontId="60" fillId="2" borderId="47" xfId="0" applyNumberFormat="1" applyFont="1" applyFill="1" applyBorder="1" applyAlignment="1">
      <alignment horizontal="center" vertical="center"/>
    </xf>
    <xf numFmtId="2" fontId="60" fillId="2" borderId="58" xfId="0" applyNumberFormat="1" applyFont="1" applyFill="1" applyBorder="1" applyAlignment="1">
      <alignment horizontal="center" vertical="center"/>
    </xf>
    <xf numFmtId="1" fontId="60" fillId="2" borderId="90" xfId="0" applyNumberFormat="1" applyFont="1" applyFill="1" applyBorder="1" applyAlignment="1">
      <alignment horizontal="center" vertical="center"/>
    </xf>
    <xf numFmtId="10" fontId="8" fillId="39" borderId="143" xfId="0" applyNumberFormat="1" applyFont="1" applyFill="1" applyBorder="1" applyAlignment="1">
      <alignment horizontal="center" vertical="center"/>
    </xf>
    <xf numFmtId="3" fontId="78" fillId="15" borderId="116" xfId="0" applyNumberFormat="1" applyFont="1" applyFill="1" applyBorder="1" applyAlignment="1">
      <alignment horizontal="center" vertical="center"/>
    </xf>
    <xf numFmtId="2" fontId="78" fillId="19" borderId="73" xfId="0" applyNumberFormat="1" applyFont="1" applyFill="1" applyBorder="1" applyAlignment="1">
      <alignment horizontal="center" vertical="center"/>
    </xf>
    <xf numFmtId="2" fontId="64" fillId="0" borderId="83" xfId="0" applyNumberFormat="1" applyFont="1" applyBorder="1" applyAlignment="1">
      <alignment horizontal="center" vertical="center"/>
    </xf>
    <xf numFmtId="175" fontId="79" fillId="0" borderId="0" xfId="0" applyNumberFormat="1" applyFont="1"/>
    <xf numFmtId="3" fontId="78" fillId="19" borderId="47" xfId="0" applyNumberFormat="1" applyFont="1" applyFill="1" applyBorder="1" applyAlignment="1">
      <alignment horizontal="center" vertical="center"/>
    </xf>
    <xf numFmtId="2" fontId="78" fillId="19" borderId="58" xfId="0" applyNumberFormat="1" applyFont="1" applyFill="1" applyBorder="1" applyAlignment="1">
      <alignment horizontal="center" vertical="center"/>
    </xf>
    <xf numFmtId="0" fontId="98" fillId="0" borderId="0" xfId="0" applyFont="1"/>
    <xf numFmtId="10" fontId="56" fillId="17" borderId="222" xfId="0" applyNumberFormat="1" applyFont="1" applyFill="1" applyBorder="1" applyAlignment="1">
      <alignment horizontal="center" vertical="center"/>
    </xf>
    <xf numFmtId="2" fontId="5" fillId="2" borderId="18" xfId="0" applyNumberFormat="1" applyFont="1" applyFill="1" applyBorder="1" applyAlignment="1">
      <alignment horizontal="center" vertical="center"/>
    </xf>
    <xf numFmtId="0" fontId="5" fillId="2" borderId="48" xfId="0" applyFont="1" applyFill="1" applyBorder="1" applyAlignment="1">
      <alignment horizontal="center" vertical="center"/>
    </xf>
    <xf numFmtId="10" fontId="58" fillId="2" borderId="111" xfId="0" applyNumberFormat="1" applyFont="1" applyFill="1" applyBorder="1" applyAlignment="1">
      <alignment horizontal="center" vertical="center"/>
    </xf>
    <xf numFmtId="2" fontId="5" fillId="2" borderId="48" xfId="0" applyNumberFormat="1" applyFont="1" applyFill="1" applyBorder="1" applyAlignment="1">
      <alignment horizontal="center" vertical="center"/>
    </xf>
    <xf numFmtId="0" fontId="3" fillId="17" borderId="3" xfId="0" applyFont="1" applyFill="1" applyBorder="1" applyAlignment="1">
      <alignment horizontal="right" vertical="center"/>
    </xf>
    <xf numFmtId="10" fontId="64" fillId="2" borderId="111" xfId="0" applyNumberFormat="1" applyFont="1" applyFill="1" applyBorder="1" applyAlignment="1">
      <alignment horizontal="center" vertical="center"/>
    </xf>
    <xf numFmtId="0" fontId="5" fillId="37" borderId="108" xfId="0" applyFont="1" applyFill="1" applyBorder="1" applyAlignment="1">
      <alignment horizontal="center" vertical="center" wrapText="1"/>
    </xf>
    <xf numFmtId="0" fontId="5" fillId="37" borderId="109" xfId="0" applyFont="1" applyFill="1" applyBorder="1" applyAlignment="1">
      <alignment horizontal="center" vertical="center" wrapText="1"/>
    </xf>
    <xf numFmtId="10" fontId="0" fillId="18" borderId="133" xfId="0" applyNumberFormat="1" applyFill="1" applyBorder="1" applyAlignment="1">
      <alignment horizontal="center" vertical="center"/>
    </xf>
    <xf numFmtId="0" fontId="0" fillId="18" borderId="135" xfId="0" applyFill="1" applyBorder="1" applyAlignment="1">
      <alignment horizontal="center" vertical="center"/>
    </xf>
    <xf numFmtId="10" fontId="0" fillId="18" borderId="118" xfId="0" applyNumberFormat="1" applyFill="1" applyBorder="1" applyAlignment="1">
      <alignment horizontal="center" vertical="center"/>
    </xf>
    <xf numFmtId="0" fontId="0" fillId="18" borderId="154" xfId="0" applyFill="1" applyBorder="1" applyAlignment="1">
      <alignment horizontal="center" vertical="center"/>
    </xf>
    <xf numFmtId="0" fontId="12" fillId="2" borderId="145" xfId="0" applyFont="1" applyFill="1" applyBorder="1" applyAlignment="1">
      <alignment horizontal="center" vertical="center" wrapText="1"/>
    </xf>
    <xf numFmtId="0" fontId="5" fillId="19" borderId="18" xfId="0" applyFont="1" applyFill="1" applyBorder="1" applyAlignment="1">
      <alignment horizontal="center" vertical="center" wrapText="1"/>
    </xf>
    <xf numFmtId="0" fontId="3" fillId="2" borderId="18" xfId="0" applyFont="1" applyFill="1" applyBorder="1" applyAlignment="1">
      <alignment horizontal="center" vertical="center"/>
    </xf>
    <xf numFmtId="0" fontId="5" fillId="2" borderId="18" xfId="0" applyFont="1" applyFill="1" applyBorder="1" applyAlignment="1">
      <alignment horizontal="center" vertical="center"/>
    </xf>
    <xf numFmtId="0" fontId="14" fillId="16" borderId="18" xfId="0" applyFont="1" applyFill="1" applyBorder="1" applyAlignment="1">
      <alignment horizontal="center" vertical="center" wrapText="1"/>
    </xf>
    <xf numFmtId="2" fontId="0" fillId="0" borderId="34" xfId="0" applyNumberFormat="1" applyBorder="1" applyAlignment="1">
      <alignment horizontal="center" vertical="center"/>
    </xf>
    <xf numFmtId="2" fontId="0" fillId="0" borderId="36" xfId="0" applyNumberFormat="1" applyBorder="1" applyAlignment="1">
      <alignment horizontal="center" vertical="center"/>
    </xf>
    <xf numFmtId="2" fontId="5" fillId="16" borderId="18" xfId="0" applyNumberFormat="1" applyFont="1" applyFill="1" applyBorder="1" applyAlignment="1">
      <alignment horizontal="center" vertical="center"/>
    </xf>
    <xf numFmtId="2" fontId="95" fillId="15" borderId="59" xfId="0" applyNumberFormat="1" applyFont="1" applyFill="1" applyBorder="1" applyAlignment="1">
      <alignment horizontal="center" vertical="center"/>
    </xf>
    <xf numFmtId="2" fontId="95" fillId="15" borderId="165" xfId="0" applyNumberFormat="1" applyFont="1" applyFill="1" applyBorder="1" applyAlignment="1">
      <alignment horizontal="center" vertical="center"/>
    </xf>
    <xf numFmtId="10" fontId="5" fillId="37" borderId="167" xfId="0" applyNumberFormat="1" applyFont="1" applyFill="1" applyBorder="1" applyAlignment="1">
      <alignment horizontal="center" vertical="center"/>
    </xf>
    <xf numFmtId="10" fontId="5" fillId="37" borderId="155" xfId="0" applyNumberFormat="1" applyFont="1" applyFill="1" applyBorder="1" applyAlignment="1">
      <alignment horizontal="center" vertical="center"/>
    </xf>
    <xf numFmtId="0" fontId="14" fillId="37" borderId="166" xfId="0" applyFont="1" applyFill="1" applyBorder="1" applyAlignment="1">
      <alignment horizontal="center" vertical="center" wrapText="1"/>
    </xf>
    <xf numFmtId="0" fontId="14" fillId="37" borderId="156" xfId="0" applyFont="1" applyFill="1" applyBorder="1" applyAlignment="1">
      <alignment horizontal="center" vertical="center" wrapText="1"/>
    </xf>
    <xf numFmtId="0" fontId="5" fillId="16" borderId="48" xfId="0" applyFont="1" applyFill="1" applyBorder="1" applyAlignment="1">
      <alignment horizontal="center" vertical="center" wrapText="1"/>
    </xf>
    <xf numFmtId="0" fontId="5" fillId="16" borderId="46" xfId="0" applyFont="1" applyFill="1" applyBorder="1" applyAlignment="1">
      <alignment horizontal="center" vertical="center" wrapText="1"/>
    </xf>
    <xf numFmtId="2" fontId="40" fillId="34" borderId="18" xfId="0" applyNumberFormat="1" applyFont="1" applyFill="1" applyBorder="1" applyAlignment="1">
      <alignment horizontal="center" vertical="center"/>
    </xf>
    <xf numFmtId="0" fontId="40" fillId="34" borderId="18" xfId="0" applyFont="1" applyFill="1" applyBorder="1" applyAlignment="1">
      <alignment horizontal="center" vertical="center"/>
    </xf>
    <xf numFmtId="0" fontId="12" fillId="37" borderId="6" xfId="0" applyFont="1" applyFill="1" applyBorder="1" applyAlignment="1">
      <alignment horizontal="center" vertical="center" wrapText="1"/>
    </xf>
    <xf numFmtId="0" fontId="12" fillId="37" borderId="38" xfId="0" applyFont="1" applyFill="1" applyBorder="1" applyAlignment="1">
      <alignment horizontal="center" vertical="center" wrapText="1"/>
    </xf>
    <xf numFmtId="10" fontId="58" fillId="2" borderId="117" xfId="0" applyNumberFormat="1" applyFont="1" applyFill="1" applyBorder="1" applyAlignment="1">
      <alignment horizontal="center" vertical="center"/>
    </xf>
    <xf numFmtId="0" fontId="78" fillId="15" borderId="18" xfId="0" applyFont="1" applyFill="1" applyBorder="1" applyAlignment="1">
      <alignment horizontal="center" vertical="center"/>
    </xf>
    <xf numFmtId="0" fontId="16" fillId="2" borderId="145" xfId="0" applyFont="1" applyFill="1" applyBorder="1" applyAlignment="1">
      <alignment horizontal="center" vertical="center" wrapText="1"/>
    </xf>
    <xf numFmtId="0" fontId="0" fillId="0" borderId="0" xfId="0" applyAlignment="1">
      <alignment horizontal="center" vertical="center"/>
    </xf>
    <xf numFmtId="0" fontId="0" fillId="0" borderId="35" xfId="0" applyBorder="1" applyAlignment="1">
      <alignment horizontal="center" vertical="center"/>
    </xf>
    <xf numFmtId="0" fontId="10" fillId="34" borderId="101" xfId="0" applyFont="1" applyFill="1" applyBorder="1" applyAlignment="1">
      <alignment horizontal="center" vertical="center"/>
    </xf>
    <xf numFmtId="0" fontId="10" fillId="34" borderId="18" xfId="0" applyFont="1" applyFill="1" applyBorder="1" applyAlignment="1">
      <alignment horizontal="center" vertical="center"/>
    </xf>
    <xf numFmtId="0" fontId="95" fillId="15" borderId="18" xfId="0" applyFont="1" applyFill="1" applyBorder="1" applyAlignment="1">
      <alignment horizontal="center" vertical="center"/>
    </xf>
    <xf numFmtId="0" fontId="0" fillId="38" borderId="18" xfId="0" applyFill="1" applyBorder="1" applyAlignment="1">
      <alignment horizontal="center" vertical="center" wrapText="1"/>
    </xf>
    <xf numFmtId="0" fontId="0" fillId="10" borderId="59" xfId="0" applyFill="1" applyBorder="1" applyAlignment="1">
      <alignment horizontal="center" vertical="center"/>
    </xf>
    <xf numFmtId="0" fontId="0" fillId="10" borderId="165" xfId="0" applyFill="1" applyBorder="1" applyAlignment="1">
      <alignment horizontal="center" vertical="center"/>
    </xf>
    <xf numFmtId="0" fontId="0" fillId="10" borderId="101" xfId="0" applyFill="1" applyBorder="1" applyAlignment="1">
      <alignment horizontal="center" vertical="center"/>
    </xf>
    <xf numFmtId="0" fontId="0" fillId="19" borderId="59" xfId="0" applyFill="1" applyBorder="1" applyAlignment="1">
      <alignment horizontal="center" vertical="center"/>
    </xf>
    <xf numFmtId="0" fontId="0" fillId="19" borderId="165" xfId="0" applyFill="1" applyBorder="1" applyAlignment="1">
      <alignment horizontal="center" vertical="center"/>
    </xf>
    <xf numFmtId="0" fontId="0" fillId="19" borderId="101" xfId="0" applyFill="1" applyBorder="1" applyAlignment="1">
      <alignment horizontal="center" vertical="center"/>
    </xf>
    <xf numFmtId="0" fontId="0" fillId="2" borderId="18" xfId="0" applyFill="1" applyBorder="1" applyAlignment="1">
      <alignment horizontal="center" vertical="center"/>
    </xf>
    <xf numFmtId="2" fontId="16" fillId="4" borderId="18" xfId="0" applyNumberFormat="1" applyFont="1" applyFill="1" applyBorder="1" applyAlignment="1">
      <alignment horizontal="center" vertical="center"/>
    </xf>
    <xf numFmtId="0" fontId="5" fillId="16" borderId="18" xfId="0" applyFont="1" applyFill="1" applyBorder="1" applyAlignment="1">
      <alignment horizontal="center" vertical="center"/>
    </xf>
    <xf numFmtId="10" fontId="0" fillId="0" borderId="18" xfId="0" applyNumberFormat="1" applyBorder="1" applyAlignment="1">
      <alignment horizontal="center" vertical="center"/>
    </xf>
    <xf numFmtId="0" fontId="0" fillId="0" borderId="18" xfId="0" applyBorder="1" applyAlignment="1">
      <alignment horizontal="center" vertical="center" wrapText="1"/>
    </xf>
    <xf numFmtId="0" fontId="12" fillId="16" borderId="31" xfId="0" applyFont="1" applyFill="1" applyBorder="1" applyAlignment="1">
      <alignment horizontal="center" vertical="center" wrapText="1"/>
    </xf>
    <xf numFmtId="0" fontId="12" fillId="16" borderId="33" xfId="0" applyFont="1" applyFill="1" applyBorder="1" applyAlignment="1">
      <alignment horizontal="center" vertical="center" wrapText="1"/>
    </xf>
    <xf numFmtId="0" fontId="12" fillId="16" borderId="36" xfId="0" applyFont="1" applyFill="1" applyBorder="1" applyAlignment="1">
      <alignment horizontal="center" vertical="center" wrapText="1"/>
    </xf>
    <xf numFmtId="0" fontId="12" fillId="16" borderId="37" xfId="0" applyFont="1" applyFill="1" applyBorder="1" applyAlignment="1">
      <alignment horizontal="center" vertical="center" wrapText="1"/>
    </xf>
    <xf numFmtId="0" fontId="14" fillId="16" borderId="18" xfId="0" applyFont="1" applyFill="1" applyBorder="1" applyAlignment="1">
      <alignment horizontal="center" wrapText="1"/>
    </xf>
    <xf numFmtId="0" fontId="9" fillId="16" borderId="18" xfId="0" applyFont="1" applyFill="1" applyBorder="1" applyAlignment="1">
      <alignment horizontal="center" vertical="center"/>
    </xf>
    <xf numFmtId="0" fontId="5" fillId="0" borderId="0" xfId="0" applyFont="1" applyAlignment="1">
      <alignment horizontal="left" vertical="top" wrapText="1"/>
    </xf>
    <xf numFmtId="3" fontId="56" fillId="18" borderId="133" xfId="0" applyNumberFormat="1" applyFont="1" applyFill="1" applyBorder="1" applyAlignment="1" applyProtection="1">
      <alignment horizontal="center" vertical="center"/>
      <protection hidden="1"/>
    </xf>
    <xf numFmtId="3" fontId="56" fillId="18" borderId="134" xfId="0" applyNumberFormat="1" applyFont="1" applyFill="1" applyBorder="1" applyAlignment="1" applyProtection="1">
      <alignment horizontal="center" vertical="center"/>
      <protection hidden="1"/>
    </xf>
    <xf numFmtId="0" fontId="58" fillId="0" borderId="223" xfId="0" applyFont="1" applyBorder="1" applyAlignment="1">
      <alignment horizontal="center" vertical="center"/>
    </xf>
    <xf numFmtId="10" fontId="56" fillId="21" borderId="222" xfId="0" applyNumberFormat="1" applyFont="1" applyFill="1" applyBorder="1" applyAlignment="1">
      <alignment horizontal="center" vertical="center"/>
    </xf>
    <xf numFmtId="0" fontId="8" fillId="21" borderId="222" xfId="0" applyFont="1" applyFill="1" applyBorder="1" applyAlignment="1">
      <alignment horizontal="center" vertical="center"/>
    </xf>
    <xf numFmtId="0" fontId="56" fillId="18" borderId="18" xfId="0" applyFont="1" applyFill="1" applyBorder="1" applyAlignment="1">
      <alignment horizontal="center" vertical="center"/>
    </xf>
    <xf numFmtId="0" fontId="43" fillId="15" borderId="59" xfId="0" applyFont="1" applyFill="1" applyBorder="1" applyAlignment="1">
      <alignment horizontal="center" vertical="center"/>
    </xf>
    <xf numFmtId="0" fontId="43" fillId="15" borderId="101" xfId="0" applyFont="1" applyFill="1" applyBorder="1" applyAlignment="1">
      <alignment horizontal="center" vertical="center"/>
    </xf>
    <xf numFmtId="0" fontId="42" fillId="2" borderId="87" xfId="0" applyFont="1" applyFill="1" applyBorder="1" applyAlignment="1">
      <alignment horizontal="center" vertical="center" wrapText="1"/>
    </xf>
    <xf numFmtId="0" fontId="42" fillId="2" borderId="88" xfId="0" applyFont="1" applyFill="1" applyBorder="1" applyAlignment="1">
      <alignment horizontal="center" vertical="center" wrapText="1"/>
    </xf>
    <xf numFmtId="0" fontId="42" fillId="2" borderId="90" xfId="0" applyFont="1" applyFill="1" applyBorder="1" applyAlignment="1">
      <alignment horizontal="center" vertical="center" wrapText="1"/>
    </xf>
    <xf numFmtId="0" fontId="64" fillId="37" borderId="91" xfId="0" applyFont="1" applyFill="1" applyBorder="1" applyAlignment="1">
      <alignment horizontal="center" vertical="center" wrapText="1"/>
    </xf>
    <xf numFmtId="0" fontId="64" fillId="37" borderId="88" xfId="0" applyFont="1" applyFill="1" applyBorder="1" applyAlignment="1">
      <alignment horizontal="center" vertical="center" wrapText="1"/>
    </xf>
    <xf numFmtId="0" fontId="64" fillId="37" borderId="90" xfId="0" applyFont="1" applyFill="1" applyBorder="1" applyAlignment="1">
      <alignment horizontal="center" vertical="center" wrapText="1"/>
    </xf>
    <xf numFmtId="3" fontId="69" fillId="10" borderId="215" xfId="0" applyNumberFormat="1" applyFont="1" applyFill="1" applyBorder="1" applyAlignment="1" applyProtection="1">
      <alignment horizontal="center" vertical="center"/>
      <protection hidden="1"/>
    </xf>
    <xf numFmtId="3" fontId="69" fillId="10" borderId="216" xfId="0" applyNumberFormat="1" applyFont="1" applyFill="1" applyBorder="1" applyAlignment="1" applyProtection="1">
      <alignment horizontal="center" vertical="center"/>
      <protection hidden="1"/>
    </xf>
    <xf numFmtId="3" fontId="69" fillId="21" borderId="201" xfId="0" applyNumberFormat="1" applyFont="1" applyFill="1" applyBorder="1" applyAlignment="1" applyProtection="1">
      <alignment horizontal="center" vertical="center"/>
      <protection hidden="1"/>
    </xf>
    <xf numFmtId="3" fontId="69" fillId="21" borderId="105" xfId="0" applyNumberFormat="1" applyFont="1" applyFill="1" applyBorder="1" applyAlignment="1" applyProtection="1">
      <alignment horizontal="center" vertical="center"/>
      <protection hidden="1"/>
    </xf>
    <xf numFmtId="3" fontId="42" fillId="10" borderId="219" xfId="0" applyNumberFormat="1" applyFont="1" applyFill="1" applyBorder="1" applyAlignment="1" applyProtection="1">
      <alignment horizontal="center" vertical="center"/>
      <protection hidden="1"/>
    </xf>
    <xf numFmtId="3" fontId="42" fillId="10" borderId="220" xfId="0" applyNumberFormat="1" applyFont="1" applyFill="1" applyBorder="1" applyAlignment="1" applyProtection="1">
      <alignment horizontal="center" vertical="center"/>
      <protection hidden="1"/>
    </xf>
    <xf numFmtId="3" fontId="42" fillId="10" borderId="221" xfId="0" applyNumberFormat="1" applyFont="1" applyFill="1" applyBorder="1" applyAlignment="1" applyProtection="1">
      <alignment horizontal="center" vertical="center"/>
      <protection hidden="1"/>
    </xf>
    <xf numFmtId="165" fontId="107" fillId="10" borderId="217" xfId="0" applyNumberFormat="1" applyFont="1" applyFill="1" applyBorder="1" applyAlignment="1">
      <alignment horizontal="center" vertical="center"/>
    </xf>
    <xf numFmtId="165" fontId="107" fillId="10" borderId="218" xfId="0" applyNumberFormat="1" applyFont="1" applyFill="1" applyBorder="1" applyAlignment="1">
      <alignment horizontal="center" vertical="center"/>
    </xf>
    <xf numFmtId="3" fontId="42" fillId="21" borderId="202" xfId="0" applyNumberFormat="1" applyFont="1" applyFill="1" applyBorder="1" applyAlignment="1" applyProtection="1">
      <alignment horizontal="center" vertical="center"/>
      <protection hidden="1"/>
    </xf>
    <xf numFmtId="3" fontId="42" fillId="21" borderId="48" xfId="0" applyNumberFormat="1" applyFont="1" applyFill="1" applyBorder="1" applyAlignment="1" applyProtection="1">
      <alignment horizontal="center" vertical="center"/>
      <protection hidden="1"/>
    </xf>
    <xf numFmtId="3" fontId="42" fillId="21" borderId="117" xfId="0" applyNumberFormat="1" applyFont="1" applyFill="1" applyBorder="1" applyAlignment="1" applyProtection="1">
      <alignment horizontal="center" vertical="center"/>
      <protection hidden="1"/>
    </xf>
    <xf numFmtId="165" fontId="107" fillId="21" borderId="167" xfId="0" applyNumberFormat="1" applyFont="1" applyFill="1" applyBorder="1" applyAlignment="1" applyProtection="1">
      <alignment horizontal="center" vertical="center"/>
      <protection hidden="1"/>
    </xf>
    <xf numFmtId="165" fontId="107" fillId="21" borderId="137" xfId="0" applyNumberFormat="1" applyFont="1" applyFill="1" applyBorder="1" applyAlignment="1" applyProtection="1">
      <alignment horizontal="center" vertical="center"/>
      <protection hidden="1"/>
    </xf>
    <xf numFmtId="0" fontId="13" fillId="37" borderId="87" xfId="0" applyFont="1" applyFill="1" applyBorder="1" applyAlignment="1">
      <alignment horizontal="center" vertical="top" wrapText="1"/>
    </xf>
    <xf numFmtId="0" fontId="13" fillId="37" borderId="90" xfId="0" applyFont="1" applyFill="1" applyBorder="1" applyAlignment="1">
      <alignment horizontal="center" vertical="top" wrapText="1"/>
    </xf>
    <xf numFmtId="0" fontId="105" fillId="37" borderId="87" xfId="0" applyFont="1" applyFill="1" applyBorder="1" applyAlignment="1">
      <alignment horizontal="center" vertical="top" wrapText="1"/>
    </xf>
    <xf numFmtId="0" fontId="105" fillId="37" borderId="90" xfId="0" applyFont="1" applyFill="1" applyBorder="1" applyAlignment="1">
      <alignment horizontal="center" vertical="top" wrapText="1"/>
    </xf>
    <xf numFmtId="0" fontId="8" fillId="16" borderId="2" xfId="0" applyFont="1" applyFill="1" applyBorder="1" applyAlignment="1">
      <alignment horizontal="center" vertical="center" wrapText="1"/>
    </xf>
    <xf numFmtId="0" fontId="8" fillId="16" borderId="3" xfId="0" applyFont="1" applyFill="1" applyBorder="1" applyAlignment="1">
      <alignment horizontal="center" vertical="center" wrapText="1"/>
    </xf>
    <xf numFmtId="0" fontId="8" fillId="16" borderId="4" xfId="0" applyFont="1" applyFill="1" applyBorder="1" applyAlignment="1">
      <alignment horizontal="center" vertical="center" wrapText="1"/>
    </xf>
    <xf numFmtId="1" fontId="39" fillId="10" borderId="84" xfId="0" applyNumberFormat="1" applyFont="1" applyFill="1" applyBorder="1" applyAlignment="1">
      <alignment horizontal="center" vertical="center"/>
    </xf>
    <xf numFmtId="1" fontId="39" fillId="10" borderId="58" xfId="0" applyNumberFormat="1" applyFont="1" applyFill="1" applyBorder="1" applyAlignment="1">
      <alignment horizontal="center" vertical="center"/>
    </xf>
    <xf numFmtId="0" fontId="52" fillId="16" borderId="6" xfId="0" applyFont="1" applyFill="1" applyBorder="1" applyAlignment="1">
      <alignment horizontal="center" vertical="center" wrapText="1"/>
    </xf>
    <xf numFmtId="0" fontId="52" fillId="16" borderId="38" xfId="0" applyFont="1" applyFill="1" applyBorder="1" applyAlignment="1">
      <alignment horizontal="center" vertical="center" wrapText="1"/>
    </xf>
    <xf numFmtId="0" fontId="52" fillId="16" borderId="7" xfId="0" applyFont="1" applyFill="1" applyBorder="1" applyAlignment="1">
      <alignment horizontal="center" vertical="center" wrapText="1"/>
    </xf>
    <xf numFmtId="0" fontId="52" fillId="16" borderId="8" xfId="0" applyFont="1" applyFill="1" applyBorder="1" applyAlignment="1">
      <alignment horizontal="center" vertical="center" wrapText="1"/>
    </xf>
    <xf numFmtId="0" fontId="52" fillId="37" borderId="88" xfId="0" applyFont="1" applyFill="1" applyBorder="1" applyAlignment="1">
      <alignment horizontal="center" vertical="top" wrapText="1"/>
    </xf>
    <xf numFmtId="0" fontId="52" fillId="37" borderId="90" xfId="0" applyFont="1" applyFill="1" applyBorder="1" applyAlignment="1">
      <alignment horizontal="center" vertical="top" wrapText="1"/>
    </xf>
    <xf numFmtId="1" fontId="39" fillId="6" borderId="86" xfId="0" applyNumberFormat="1" applyFont="1" applyFill="1" applyBorder="1" applyAlignment="1">
      <alignment horizontal="center" vertical="center"/>
    </xf>
    <xf numFmtId="1" fontId="39" fillId="6" borderId="89" xfId="0" applyNumberFormat="1" applyFont="1" applyFill="1" applyBorder="1" applyAlignment="1">
      <alignment horizontal="center" vertical="center"/>
    </xf>
    <xf numFmtId="1" fontId="39" fillId="18" borderId="84" xfId="0" applyNumberFormat="1" applyFont="1" applyFill="1" applyBorder="1" applyAlignment="1">
      <alignment horizontal="center" vertical="center"/>
    </xf>
    <xf numFmtId="1" fontId="39" fillId="18" borderId="58" xfId="0" applyNumberFormat="1" applyFont="1" applyFill="1" applyBorder="1" applyAlignment="1">
      <alignment horizontal="center" vertical="center"/>
    </xf>
    <xf numFmtId="0" fontId="13" fillId="37" borderId="91" xfId="0" applyFont="1" applyFill="1" applyBorder="1" applyAlignment="1">
      <alignment horizontal="center" vertical="top" wrapText="1"/>
    </xf>
    <xf numFmtId="0" fontId="13" fillId="37" borderId="88" xfId="0" applyFont="1" applyFill="1" applyBorder="1" applyAlignment="1">
      <alignment horizontal="center" vertical="top" wrapText="1"/>
    </xf>
    <xf numFmtId="0" fontId="64" fillId="37" borderId="91" xfId="0" applyFont="1" applyFill="1" applyBorder="1" applyAlignment="1">
      <alignment horizontal="center" vertical="top" wrapText="1"/>
    </xf>
    <xf numFmtId="0" fontId="64" fillId="37" borderId="88" xfId="0" applyFont="1" applyFill="1" applyBorder="1" applyAlignment="1">
      <alignment horizontal="center" vertical="top" wrapText="1"/>
    </xf>
    <xf numFmtId="0" fontId="64" fillId="37" borderId="90" xfId="0" applyFont="1" applyFill="1" applyBorder="1" applyAlignment="1">
      <alignment horizontal="center" vertical="top" wrapText="1"/>
    </xf>
    <xf numFmtId="1" fontId="66" fillId="16" borderId="57" xfId="0" applyNumberFormat="1" applyFont="1" applyFill="1" applyBorder="1" applyAlignment="1">
      <alignment horizontal="center" vertical="center"/>
    </xf>
    <xf numFmtId="1" fontId="66" fillId="16" borderId="85" xfId="0" applyNumberFormat="1" applyFont="1" applyFill="1" applyBorder="1" applyAlignment="1">
      <alignment horizontal="center" vertical="center"/>
    </xf>
    <xf numFmtId="3" fontId="42" fillId="21" borderId="199" xfId="0" applyNumberFormat="1" applyFont="1" applyFill="1" applyBorder="1" applyAlignment="1" applyProtection="1">
      <alignment horizontal="center" vertical="center"/>
      <protection hidden="1"/>
    </xf>
    <xf numFmtId="3" fontId="42" fillId="21" borderId="200" xfId="0" applyNumberFormat="1" applyFont="1" applyFill="1" applyBorder="1" applyAlignment="1" applyProtection="1">
      <alignment horizontal="center" vertical="center"/>
      <protection hidden="1"/>
    </xf>
    <xf numFmtId="0" fontId="42" fillId="10" borderId="16" xfId="0" applyFont="1" applyFill="1" applyBorder="1" applyAlignment="1">
      <alignment horizontal="center" vertical="center" wrapText="1"/>
    </xf>
    <xf numFmtId="0" fontId="42" fillId="10" borderId="42" xfId="0" applyFont="1" applyFill="1" applyBorder="1" applyAlignment="1">
      <alignment horizontal="center" vertical="center" wrapText="1"/>
    </xf>
    <xf numFmtId="0" fontId="42" fillId="10" borderId="15" xfId="0" applyFont="1" applyFill="1" applyBorder="1" applyAlignment="1">
      <alignment horizontal="center" vertical="center" wrapText="1"/>
    </xf>
    <xf numFmtId="0" fontId="13" fillId="21" borderId="19" xfId="0" applyFont="1" applyFill="1" applyBorder="1" applyAlignment="1">
      <alignment horizontal="center" vertical="center" wrapText="1"/>
    </xf>
    <xf numFmtId="0" fontId="13" fillId="21" borderId="0" xfId="0" applyFont="1" applyFill="1" applyAlignment="1">
      <alignment horizontal="center" vertical="center" wrapText="1"/>
    </xf>
    <xf numFmtId="0" fontId="13" fillId="21" borderId="14" xfId="0" applyFont="1" applyFill="1" applyBorder="1" applyAlignment="1">
      <alignment horizontal="center" vertical="center" wrapText="1"/>
    </xf>
    <xf numFmtId="3" fontId="42" fillId="6" borderId="144" xfId="0" applyNumberFormat="1" applyFont="1" applyFill="1" applyBorder="1" applyAlignment="1" applyProtection="1">
      <alignment horizontal="center" vertical="center"/>
      <protection hidden="1"/>
    </xf>
    <xf numFmtId="3" fontId="42" fillId="6" borderId="145" xfId="0" applyNumberFormat="1" applyFont="1" applyFill="1" applyBorder="1" applyAlignment="1" applyProtection="1">
      <alignment horizontal="center" vertical="center"/>
      <protection hidden="1"/>
    </xf>
    <xf numFmtId="3" fontId="42" fillId="6" borderId="146" xfId="0" applyNumberFormat="1" applyFont="1" applyFill="1" applyBorder="1" applyAlignment="1" applyProtection="1">
      <alignment horizontal="center" vertical="center"/>
      <protection hidden="1"/>
    </xf>
    <xf numFmtId="0" fontId="106" fillId="21" borderId="7" xfId="0" applyFont="1" applyFill="1" applyBorder="1" applyAlignment="1">
      <alignment horizontal="center" vertical="center" wrapText="1"/>
    </xf>
    <xf numFmtId="0" fontId="106" fillId="21" borderId="8" xfId="0" applyFont="1" applyFill="1" applyBorder="1" applyAlignment="1">
      <alignment horizontal="center" vertical="center" wrapText="1"/>
    </xf>
    <xf numFmtId="0" fontId="64" fillId="21" borderId="7" xfId="0" applyFont="1" applyFill="1" applyBorder="1" applyAlignment="1">
      <alignment horizontal="center" vertical="center" wrapText="1"/>
    </xf>
    <xf numFmtId="0" fontId="64" fillId="21" borderId="8" xfId="0" applyFont="1" applyFill="1" applyBorder="1" applyAlignment="1">
      <alignment horizontal="center" vertical="center" wrapText="1"/>
    </xf>
    <xf numFmtId="165" fontId="107" fillId="6" borderId="35" xfId="0" applyNumberFormat="1" applyFont="1" applyFill="1" applyBorder="1" applyAlignment="1" applyProtection="1">
      <alignment horizontal="center" vertical="center"/>
      <protection hidden="1"/>
    </xf>
    <xf numFmtId="165" fontId="107" fillId="6" borderId="34" xfId="0" applyNumberFormat="1" applyFont="1" applyFill="1" applyBorder="1" applyAlignment="1" applyProtection="1">
      <alignment horizontal="center" vertical="center"/>
      <protection hidden="1"/>
    </xf>
    <xf numFmtId="3" fontId="42" fillId="6" borderId="136" xfId="0" applyNumberFormat="1" applyFont="1" applyFill="1" applyBorder="1" applyAlignment="1" applyProtection="1">
      <alignment horizontal="center" vertical="center"/>
      <protection hidden="1"/>
    </xf>
    <xf numFmtId="3" fontId="42" fillId="6" borderId="103" xfId="0" applyNumberFormat="1" applyFont="1" applyFill="1" applyBorder="1" applyAlignment="1" applyProtection="1">
      <alignment horizontal="center" vertical="center"/>
      <protection hidden="1"/>
    </xf>
    <xf numFmtId="3" fontId="69" fillId="6" borderId="139" xfId="0" applyNumberFormat="1" applyFont="1" applyFill="1" applyBorder="1" applyAlignment="1" applyProtection="1">
      <alignment horizontal="center" vertical="center"/>
      <protection hidden="1"/>
    </xf>
    <xf numFmtId="3" fontId="69" fillId="6" borderId="140" xfId="0" applyNumberFormat="1" applyFont="1" applyFill="1" applyBorder="1" applyAlignment="1" applyProtection="1">
      <alignment horizontal="center" vertical="center"/>
      <protection hidden="1"/>
    </xf>
    <xf numFmtId="3" fontId="42" fillId="10" borderId="208" xfId="0" applyNumberFormat="1" applyFont="1" applyFill="1" applyBorder="1" applyAlignment="1" applyProtection="1">
      <alignment horizontal="center" vertical="center"/>
      <protection hidden="1"/>
    </xf>
    <xf numFmtId="3" fontId="42" fillId="10" borderId="209" xfId="0" applyNumberFormat="1" applyFont="1" applyFill="1" applyBorder="1" applyAlignment="1" applyProtection="1">
      <alignment horizontal="center" vertical="center"/>
      <protection hidden="1"/>
    </xf>
    <xf numFmtId="3" fontId="42" fillId="10" borderId="210" xfId="0" applyNumberFormat="1" applyFont="1" applyFill="1" applyBorder="1" applyAlignment="1" applyProtection="1">
      <alignment horizontal="center" vertical="center"/>
      <protection hidden="1"/>
    </xf>
    <xf numFmtId="165" fontId="107" fillId="10" borderId="206" xfId="0" applyNumberFormat="1" applyFont="1" applyFill="1" applyBorder="1" applyAlignment="1" applyProtection="1">
      <alignment horizontal="center" vertical="center"/>
      <protection hidden="1"/>
    </xf>
    <xf numFmtId="165" fontId="107" fillId="10" borderId="207" xfId="0" applyNumberFormat="1" applyFont="1" applyFill="1" applyBorder="1" applyAlignment="1" applyProtection="1">
      <alignment horizontal="center" vertical="center"/>
      <protection hidden="1"/>
    </xf>
    <xf numFmtId="0" fontId="0" fillId="0" borderId="19" xfId="0" applyBorder="1" applyAlignment="1">
      <alignment horizontal="center"/>
    </xf>
    <xf numFmtId="0" fontId="0" fillId="0" borderId="0" xfId="0" applyAlignment="1">
      <alignment horizontal="center"/>
    </xf>
    <xf numFmtId="0" fontId="103" fillId="0" borderId="5" xfId="1" applyFont="1" applyBorder="1" applyAlignment="1">
      <alignment horizontal="center" vertical="center"/>
    </xf>
    <xf numFmtId="0" fontId="42" fillId="8" borderId="6" xfId="0" applyFont="1" applyFill="1" applyBorder="1" applyAlignment="1">
      <alignment horizontal="center" vertical="center" wrapText="1"/>
    </xf>
    <xf numFmtId="0" fontId="42" fillId="8" borderId="30" xfId="0" applyFont="1" applyFill="1" applyBorder="1" applyAlignment="1">
      <alignment horizontal="center" vertical="center" wrapText="1"/>
    </xf>
    <xf numFmtId="0" fontId="42" fillId="8" borderId="38" xfId="0" applyFont="1" applyFill="1" applyBorder="1" applyAlignment="1">
      <alignment horizontal="center" vertical="center" wrapText="1"/>
    </xf>
    <xf numFmtId="0" fontId="42" fillId="8" borderId="0" xfId="0" applyFont="1" applyFill="1" applyAlignment="1">
      <alignment horizontal="center" vertical="center" wrapText="1"/>
    </xf>
    <xf numFmtId="0" fontId="42" fillId="8" borderId="14" xfId="0" applyFont="1" applyFill="1" applyBorder="1" applyAlignment="1">
      <alignment horizontal="center" vertical="center" wrapText="1"/>
    </xf>
    <xf numFmtId="0" fontId="42" fillId="8" borderId="5" xfId="0" applyFont="1" applyFill="1" applyBorder="1" applyAlignment="1">
      <alignment horizontal="center" vertical="center" wrapText="1"/>
    </xf>
    <xf numFmtId="0" fontId="42" fillId="8" borderId="8" xfId="0" applyFont="1" applyFill="1" applyBorder="1" applyAlignment="1">
      <alignment horizontal="center" vertical="center" wrapText="1"/>
    </xf>
    <xf numFmtId="3" fontId="42" fillId="10" borderId="213" xfId="0" applyNumberFormat="1" applyFont="1" applyFill="1" applyBorder="1" applyAlignment="1" applyProtection="1">
      <alignment horizontal="center" vertical="center"/>
      <protection hidden="1"/>
    </xf>
    <xf numFmtId="3" fontId="42" fillId="10" borderId="214" xfId="0" applyNumberFormat="1" applyFont="1" applyFill="1" applyBorder="1" applyAlignment="1" applyProtection="1">
      <alignment horizontal="center" vertical="center"/>
      <protection hidden="1"/>
    </xf>
    <xf numFmtId="3" fontId="42" fillId="10" borderId="204" xfId="0" applyNumberFormat="1" applyFont="1" applyFill="1" applyBorder="1" applyAlignment="1" applyProtection="1">
      <alignment horizontal="center" vertical="center"/>
      <protection hidden="1"/>
    </xf>
    <xf numFmtId="3" fontId="42" fillId="10" borderId="66" xfId="0" applyNumberFormat="1" applyFont="1" applyFill="1" applyBorder="1" applyAlignment="1" applyProtection="1">
      <alignment horizontal="center" vertical="center"/>
      <protection hidden="1"/>
    </xf>
    <xf numFmtId="3" fontId="69" fillId="10" borderId="65" xfId="0" applyNumberFormat="1" applyFont="1" applyFill="1" applyBorder="1" applyAlignment="1" applyProtection="1">
      <alignment horizontal="center" vertical="center"/>
      <protection hidden="1"/>
    </xf>
    <xf numFmtId="3" fontId="69" fillId="10" borderId="205" xfId="0" applyNumberFormat="1" applyFont="1" applyFill="1" applyBorder="1" applyAlignment="1" applyProtection="1">
      <alignment horizontal="center" vertical="center"/>
      <protection hidden="1"/>
    </xf>
    <xf numFmtId="3" fontId="42" fillId="10" borderId="132" xfId="0" applyNumberFormat="1" applyFont="1" applyFill="1" applyBorder="1" applyAlignment="1" applyProtection="1">
      <alignment horizontal="center" vertical="center"/>
      <protection hidden="1"/>
    </xf>
    <xf numFmtId="3" fontId="42" fillId="10" borderId="100" xfId="0" applyNumberFormat="1" applyFont="1" applyFill="1" applyBorder="1" applyAlignment="1" applyProtection="1">
      <alignment horizontal="center" vertical="center"/>
      <protection hidden="1"/>
    </xf>
    <xf numFmtId="3" fontId="69" fillId="10" borderId="97" xfId="0" applyNumberFormat="1" applyFont="1" applyFill="1" applyBorder="1" applyAlignment="1" applyProtection="1">
      <alignment horizontal="center" vertical="center"/>
      <protection hidden="1"/>
    </xf>
    <xf numFmtId="3" fontId="69" fillId="10" borderId="103" xfId="0" applyNumberFormat="1" applyFont="1" applyFill="1" applyBorder="1" applyAlignment="1" applyProtection="1">
      <alignment horizontal="center" vertical="center"/>
      <protection hidden="1"/>
    </xf>
    <xf numFmtId="10" fontId="41" fillId="15" borderId="222" xfId="0" applyNumberFormat="1" applyFont="1" applyFill="1" applyBorder="1" applyAlignment="1">
      <alignment horizontal="center" vertical="center"/>
    </xf>
    <xf numFmtId="0" fontId="25" fillId="15" borderId="224" xfId="0" applyFont="1" applyFill="1" applyBorder="1" applyAlignment="1">
      <alignment horizontal="center" vertical="center"/>
    </xf>
    <xf numFmtId="0" fontId="25" fillId="15" borderId="225" xfId="0" applyFont="1" applyFill="1" applyBorder="1" applyAlignment="1">
      <alignment horizontal="center" vertical="center"/>
    </xf>
    <xf numFmtId="0" fontId="25" fillId="15" borderId="0" xfId="0" applyFont="1" applyFill="1" applyAlignment="1">
      <alignment horizontal="center" vertical="center"/>
    </xf>
    <xf numFmtId="0" fontId="25" fillId="15" borderId="226" xfId="0" applyFont="1" applyFill="1" applyBorder="1" applyAlignment="1">
      <alignment horizontal="center" vertical="center"/>
    </xf>
    <xf numFmtId="0" fontId="104" fillId="18" borderId="2" xfId="0" applyFont="1" applyFill="1" applyBorder="1" applyAlignment="1">
      <alignment horizontal="center" vertical="center" wrapText="1"/>
    </xf>
    <xf numFmtId="0" fontId="104" fillId="18" borderId="3" xfId="0" applyFont="1" applyFill="1" applyBorder="1" applyAlignment="1">
      <alignment horizontal="center" vertical="center" wrapText="1"/>
    </xf>
    <xf numFmtId="0" fontId="104" fillId="18" borderId="4" xfId="0" applyFont="1" applyFill="1" applyBorder="1" applyAlignment="1">
      <alignment horizontal="center" vertical="center" wrapText="1"/>
    </xf>
    <xf numFmtId="3" fontId="42" fillId="10" borderId="110" xfId="0" applyNumberFormat="1" applyFont="1" applyFill="1" applyBorder="1" applyAlignment="1" applyProtection="1">
      <alignment horizontal="center" vertical="center"/>
      <protection hidden="1"/>
    </xf>
    <xf numFmtId="3" fontId="42" fillId="10" borderId="18" xfId="0" applyNumberFormat="1" applyFont="1" applyFill="1" applyBorder="1" applyAlignment="1" applyProtection="1">
      <alignment horizontal="center" vertical="center"/>
      <protection hidden="1"/>
    </xf>
    <xf numFmtId="3" fontId="42" fillId="10" borderId="211" xfId="0" applyNumberFormat="1" applyFont="1" applyFill="1" applyBorder="1" applyAlignment="1" applyProtection="1">
      <alignment horizontal="center" vertical="center"/>
      <protection hidden="1"/>
    </xf>
    <xf numFmtId="165" fontId="107" fillId="10" borderId="118" xfId="0" applyNumberFormat="1" applyFont="1" applyFill="1" applyBorder="1" applyAlignment="1" applyProtection="1">
      <alignment horizontal="center" vertical="center"/>
      <protection hidden="1"/>
    </xf>
    <xf numFmtId="165" fontId="107" fillId="10" borderId="119" xfId="0" applyNumberFormat="1" applyFont="1" applyFill="1" applyBorder="1" applyAlignment="1" applyProtection="1">
      <alignment horizontal="center" vertical="center"/>
      <protection hidden="1"/>
    </xf>
    <xf numFmtId="0" fontId="54" fillId="18" borderId="6" xfId="0" applyFont="1" applyFill="1" applyBorder="1" applyAlignment="1" applyProtection="1">
      <alignment horizontal="center" vertical="center" wrapText="1"/>
      <protection hidden="1"/>
    </xf>
    <xf numFmtId="0" fontId="54" fillId="18" borderId="30" xfId="0" applyFont="1" applyFill="1" applyBorder="1" applyAlignment="1" applyProtection="1">
      <alignment horizontal="center" vertical="center" wrapText="1"/>
      <protection hidden="1"/>
    </xf>
    <xf numFmtId="1" fontId="39" fillId="6" borderId="57" xfId="0" applyNumberFormat="1" applyFont="1" applyFill="1" applyBorder="1" applyAlignment="1">
      <alignment horizontal="center" vertical="center"/>
    </xf>
    <xf numFmtId="1" fontId="39" fillId="6" borderId="50" xfId="0" applyNumberFormat="1" applyFont="1" applyFill="1" applyBorder="1" applyAlignment="1">
      <alignment horizontal="center" vertical="center"/>
    </xf>
    <xf numFmtId="0" fontId="64" fillId="17" borderId="222" xfId="0" applyFont="1" applyFill="1" applyBorder="1" applyAlignment="1">
      <alignment horizontal="center" vertical="center"/>
    </xf>
    <xf numFmtId="0" fontId="58" fillId="0" borderId="83" xfId="0" applyFont="1" applyBorder="1" applyAlignment="1">
      <alignment horizontal="center" vertical="center"/>
    </xf>
    <xf numFmtId="0" fontId="56" fillId="0" borderId="16" xfId="0" applyFont="1" applyBorder="1" applyAlignment="1">
      <alignment horizontal="center" vertical="center"/>
    </xf>
    <xf numFmtId="0" fontId="56" fillId="0" borderId="15" xfId="0" applyFont="1" applyBorder="1" applyAlignment="1">
      <alignment horizontal="center" vertical="center"/>
    </xf>
    <xf numFmtId="0" fontId="56" fillId="0" borderId="83" xfId="0" applyFont="1" applyBorder="1" applyAlignment="1">
      <alignment horizontal="center" vertical="center"/>
    </xf>
    <xf numFmtId="3" fontId="77" fillId="0" borderId="0" xfId="0" applyNumberFormat="1" applyFont="1" applyAlignment="1">
      <alignment horizontal="center" vertical="center"/>
    </xf>
    <xf numFmtId="0" fontId="25" fillId="21" borderId="87" xfId="0" applyFont="1" applyFill="1" applyBorder="1" applyAlignment="1">
      <alignment horizontal="center" vertical="center" wrapText="1"/>
    </xf>
    <xf numFmtId="0" fontId="25" fillId="21" borderId="141" xfId="0" applyFont="1" applyFill="1" applyBorder="1" applyAlignment="1">
      <alignment horizontal="center" vertical="center" wrapText="1"/>
    </xf>
    <xf numFmtId="0" fontId="8" fillId="15" borderId="7" xfId="0" applyFont="1" applyFill="1" applyBorder="1" applyAlignment="1">
      <alignment horizontal="center" vertical="center" wrapText="1"/>
    </xf>
    <xf numFmtId="0" fontId="8" fillId="15" borderId="5" xfId="0" applyFont="1" applyFill="1" applyBorder="1" applyAlignment="1">
      <alignment horizontal="center" vertical="center" wrapText="1"/>
    </xf>
    <xf numFmtId="0" fontId="69" fillId="3" borderId="54" xfId="0" applyFont="1" applyFill="1" applyBorder="1" applyAlignment="1">
      <alignment horizontal="center" vertical="center"/>
    </xf>
    <xf numFmtId="1" fontId="59" fillId="16" borderId="84" xfId="0" applyNumberFormat="1" applyFont="1" applyFill="1" applyBorder="1" applyAlignment="1">
      <alignment horizontal="center" vertical="center"/>
    </xf>
    <xf numFmtId="1" fontId="59" fillId="16" borderId="52" xfId="0" applyNumberFormat="1" applyFont="1" applyFill="1" applyBorder="1" applyAlignment="1">
      <alignment horizontal="center" vertical="center"/>
    </xf>
    <xf numFmtId="3" fontId="56" fillId="3" borderId="57" xfId="0" applyNumberFormat="1" applyFont="1" applyFill="1" applyBorder="1" applyAlignment="1">
      <alignment horizontal="center" vertical="center"/>
    </xf>
    <xf numFmtId="3" fontId="56" fillId="3" borderId="50" xfId="0" applyNumberFormat="1" applyFont="1" applyFill="1" applyBorder="1" applyAlignment="1">
      <alignment horizontal="center" vertical="center"/>
    </xf>
    <xf numFmtId="3" fontId="56" fillId="3" borderId="120" xfId="0" applyNumberFormat="1" applyFont="1" applyFill="1" applyBorder="1" applyAlignment="1">
      <alignment horizontal="center" vertical="center"/>
    </xf>
    <xf numFmtId="3" fontId="56" fillId="3" borderId="5" xfId="0" applyNumberFormat="1" applyFont="1" applyFill="1" applyBorder="1" applyAlignment="1">
      <alignment horizontal="center" vertical="center"/>
    </xf>
    <xf numFmtId="3" fontId="68" fillId="18" borderId="50" xfId="0" applyNumberFormat="1" applyFont="1" applyFill="1" applyBorder="1" applyAlignment="1">
      <alignment horizontal="center" vertical="center" wrapText="1"/>
    </xf>
    <xf numFmtId="3" fontId="68" fillId="18" borderId="85" xfId="0" applyNumberFormat="1" applyFont="1" applyFill="1" applyBorder="1" applyAlignment="1">
      <alignment horizontal="center" vertical="center" wrapText="1"/>
    </xf>
    <xf numFmtId="3" fontId="68" fillId="18" borderId="54" xfId="0" applyNumberFormat="1" applyFont="1" applyFill="1" applyBorder="1" applyAlignment="1">
      <alignment horizontal="center" vertical="center" wrapText="1"/>
    </xf>
    <xf numFmtId="3" fontId="68" fillId="18" borderId="51" xfId="0" applyNumberFormat="1" applyFont="1" applyFill="1" applyBorder="1" applyAlignment="1">
      <alignment horizontal="center" vertical="center" wrapText="1"/>
    </xf>
    <xf numFmtId="3" fontId="68" fillId="18" borderId="50" xfId="0" applyNumberFormat="1" applyFont="1" applyFill="1" applyBorder="1" applyAlignment="1">
      <alignment horizontal="center" vertical="center"/>
    </xf>
    <xf numFmtId="3" fontId="68" fillId="18" borderId="85" xfId="0" applyNumberFormat="1" applyFont="1" applyFill="1" applyBorder="1" applyAlignment="1">
      <alignment horizontal="center" vertical="center"/>
    </xf>
    <xf numFmtId="0" fontId="38" fillId="32" borderId="6" xfId="0" applyFont="1" applyFill="1" applyBorder="1" applyAlignment="1">
      <alignment horizontal="center" vertical="center" wrapText="1"/>
    </xf>
    <xf numFmtId="0" fontId="38" fillId="32" borderId="38" xfId="0" applyFont="1" applyFill="1" applyBorder="1" applyAlignment="1">
      <alignment horizontal="center" vertical="center" wrapText="1"/>
    </xf>
    <xf numFmtId="3" fontId="68" fillId="32" borderId="0" xfId="0" applyNumberFormat="1" applyFont="1" applyFill="1" applyAlignment="1">
      <alignment horizontal="center" vertical="center"/>
    </xf>
    <xf numFmtId="0" fontId="69" fillId="15" borderId="30" xfId="0" applyFont="1" applyFill="1" applyBorder="1" applyAlignment="1">
      <alignment horizontal="center" vertical="center"/>
    </xf>
    <xf numFmtId="0" fontId="69" fillId="15" borderId="38" xfId="0" applyFont="1" applyFill="1" applyBorder="1" applyAlignment="1">
      <alignment horizontal="center" vertical="center"/>
    </xf>
    <xf numFmtId="0" fontId="56" fillId="16" borderId="84" xfId="0" applyFont="1" applyFill="1" applyBorder="1" applyAlignment="1">
      <alignment horizontal="center" vertical="center" wrapText="1"/>
    </xf>
    <xf numFmtId="0" fontId="56" fillId="16" borderId="52" xfId="0" applyFont="1" applyFill="1" applyBorder="1" applyAlignment="1">
      <alignment horizontal="center" vertical="center" wrapText="1"/>
    </xf>
    <xf numFmtId="0" fontId="56" fillId="16" borderId="50" xfId="0" applyFont="1" applyFill="1" applyBorder="1" applyAlignment="1">
      <alignment horizontal="center" vertical="center" wrapText="1"/>
    </xf>
    <xf numFmtId="0" fontId="56" fillId="16" borderId="58" xfId="0" applyFont="1" applyFill="1" applyBorder="1" applyAlignment="1">
      <alignment horizontal="center" vertical="center" wrapText="1"/>
    </xf>
    <xf numFmtId="0" fontId="58" fillId="21" borderId="6" xfId="0" applyFont="1" applyFill="1" applyBorder="1" applyAlignment="1">
      <alignment horizontal="center" vertical="center" wrapText="1"/>
    </xf>
    <xf numFmtId="0" fontId="58" fillId="21" borderId="30" xfId="0" applyFont="1" applyFill="1" applyBorder="1" applyAlignment="1">
      <alignment horizontal="center" vertical="center" wrapText="1"/>
    </xf>
    <xf numFmtId="0" fontId="58" fillId="21" borderId="123" xfId="0" applyFont="1" applyFill="1" applyBorder="1" applyAlignment="1">
      <alignment horizontal="center" vertical="center" wrapText="1"/>
    </xf>
    <xf numFmtId="0" fontId="58" fillId="21" borderId="54" xfId="0" applyFont="1" applyFill="1" applyBorder="1" applyAlignment="1">
      <alignment horizontal="center" vertical="center" wrapText="1"/>
    </xf>
    <xf numFmtId="0" fontId="58" fillId="21" borderId="93" xfId="0" applyFont="1" applyFill="1" applyBorder="1" applyAlignment="1">
      <alignment horizontal="center" vertical="center" wrapText="1"/>
    </xf>
    <xf numFmtId="0" fontId="58" fillId="21" borderId="38" xfId="0" applyFont="1" applyFill="1" applyBorder="1" applyAlignment="1">
      <alignment horizontal="center" vertical="center" wrapText="1"/>
    </xf>
    <xf numFmtId="0" fontId="58" fillId="21" borderId="53" xfId="0" applyFont="1" applyFill="1" applyBorder="1" applyAlignment="1">
      <alignment horizontal="center" vertical="center" wrapText="1"/>
    </xf>
    <xf numFmtId="0" fontId="58" fillId="21" borderId="124" xfId="0" applyFont="1" applyFill="1" applyBorder="1" applyAlignment="1">
      <alignment horizontal="center" vertical="center" wrapText="1"/>
    </xf>
    <xf numFmtId="0" fontId="25" fillId="15" borderId="88" xfId="0" applyFont="1" applyFill="1" applyBorder="1" applyAlignment="1">
      <alignment horizontal="center" vertical="center" wrapText="1"/>
    </xf>
    <xf numFmtId="0" fontId="78" fillId="15" borderId="57" xfId="0" applyFont="1" applyFill="1" applyBorder="1" applyAlignment="1">
      <alignment horizontal="center" vertical="center" wrapText="1"/>
    </xf>
    <xf numFmtId="0" fontId="78" fillId="15" borderId="86" xfId="0" applyFont="1" applyFill="1" applyBorder="1" applyAlignment="1">
      <alignment horizontal="center" vertical="center" wrapText="1"/>
    </xf>
    <xf numFmtId="0" fontId="18" fillId="15" borderId="57" xfId="0" applyFont="1" applyFill="1" applyBorder="1" applyAlignment="1">
      <alignment horizontal="center" vertical="center" wrapText="1"/>
    </xf>
    <xf numFmtId="0" fontId="18" fillId="15" borderId="53" xfId="0" applyFont="1" applyFill="1" applyBorder="1" applyAlignment="1">
      <alignment horizontal="center" vertical="center" wrapText="1"/>
    </xf>
    <xf numFmtId="3" fontId="62" fillId="16" borderId="57" xfId="0" applyNumberFormat="1" applyFont="1" applyFill="1" applyBorder="1" applyAlignment="1">
      <alignment horizontal="center" vertical="center"/>
    </xf>
    <xf numFmtId="3" fontId="62" fillId="16" borderId="90" xfId="0" applyNumberFormat="1" applyFont="1" applyFill="1" applyBorder="1" applyAlignment="1">
      <alignment horizontal="center" vertical="center"/>
    </xf>
    <xf numFmtId="3" fontId="65" fillId="6" borderId="99" xfId="0" applyNumberFormat="1" applyFont="1" applyFill="1" applyBorder="1" applyAlignment="1">
      <alignment horizontal="center" vertical="center"/>
    </xf>
    <xf numFmtId="3" fontId="65" fillId="6" borderId="100" xfId="0" applyNumberFormat="1" applyFont="1" applyFill="1" applyBorder="1" applyAlignment="1">
      <alignment horizontal="center" vertical="center"/>
    </xf>
    <xf numFmtId="3" fontId="65" fillId="6" borderId="104" xfId="0" applyNumberFormat="1" applyFont="1" applyFill="1" applyBorder="1" applyAlignment="1">
      <alignment horizontal="center" vertical="center"/>
    </xf>
    <xf numFmtId="3" fontId="61" fillId="16" borderId="57" xfId="0" applyNumberFormat="1" applyFont="1" applyFill="1" applyBorder="1" applyAlignment="1">
      <alignment horizontal="center" vertical="center"/>
    </xf>
    <xf numFmtId="3" fontId="61" fillId="16" borderId="53" xfId="0" applyNumberFormat="1" applyFont="1" applyFill="1" applyBorder="1" applyAlignment="1">
      <alignment horizontal="center" vertical="center"/>
    </xf>
    <xf numFmtId="3" fontId="66" fillId="15" borderId="6" xfId="0" applyNumberFormat="1" applyFont="1" applyFill="1" applyBorder="1" applyAlignment="1">
      <alignment horizontal="center" vertical="center"/>
    </xf>
    <xf numFmtId="3" fontId="66" fillId="15" borderId="30" xfId="0" applyNumberFormat="1" applyFont="1" applyFill="1" applyBorder="1" applyAlignment="1">
      <alignment horizontal="center" vertical="center"/>
    </xf>
    <xf numFmtId="3" fontId="66" fillId="15" borderId="19" xfId="0" applyNumberFormat="1" applyFont="1" applyFill="1" applyBorder="1" applyAlignment="1">
      <alignment horizontal="center" vertical="center"/>
    </xf>
    <xf numFmtId="3" fontId="66" fillId="15" borderId="0" xfId="0" applyNumberFormat="1" applyFont="1" applyFill="1" applyAlignment="1">
      <alignment horizontal="center" vertical="center"/>
    </xf>
    <xf numFmtId="1" fontId="59" fillId="6" borderId="84" xfId="0" applyNumberFormat="1" applyFont="1" applyFill="1" applyBorder="1" applyAlignment="1">
      <alignment horizontal="center" vertical="center"/>
    </xf>
    <xf numFmtId="1" fontId="59" fillId="6" borderId="52" xfId="0" applyNumberFormat="1" applyFont="1" applyFill="1" applyBorder="1" applyAlignment="1">
      <alignment horizontal="center" vertical="center"/>
    </xf>
    <xf numFmtId="0" fontId="63" fillId="25" borderId="86" xfId="0" applyFont="1" applyFill="1" applyBorder="1" applyAlignment="1">
      <alignment horizontal="right" vertical="center"/>
    </xf>
    <xf numFmtId="0" fontId="63" fillId="25" borderId="0" xfId="0" applyFont="1" applyFill="1" applyAlignment="1">
      <alignment horizontal="right" vertical="center"/>
    </xf>
    <xf numFmtId="1" fontId="47" fillId="15" borderId="30" xfId="0" applyNumberFormat="1" applyFont="1" applyFill="1" applyBorder="1" applyAlignment="1">
      <alignment horizontal="center" vertical="center"/>
    </xf>
    <xf numFmtId="1" fontId="47" fillId="15" borderId="5" xfId="0" applyNumberFormat="1" applyFont="1" applyFill="1" applyBorder="1" applyAlignment="1">
      <alignment horizontal="center" vertical="center"/>
    </xf>
    <xf numFmtId="3" fontId="47" fillId="15" borderId="6" xfId="0" applyNumberFormat="1" applyFont="1" applyFill="1" applyBorder="1" applyAlignment="1">
      <alignment horizontal="center" vertical="center"/>
    </xf>
    <xf numFmtId="3" fontId="47" fillId="15" borderId="30" xfId="0" applyNumberFormat="1" applyFont="1" applyFill="1" applyBorder="1" applyAlignment="1">
      <alignment horizontal="center" vertical="center"/>
    </xf>
    <xf numFmtId="3" fontId="47" fillId="15" borderId="2" xfId="0" applyNumberFormat="1" applyFont="1" applyFill="1" applyBorder="1" applyAlignment="1">
      <alignment horizontal="center" vertical="center"/>
    </xf>
    <xf numFmtId="3" fontId="47" fillId="15" borderId="3" xfId="0" applyNumberFormat="1" applyFont="1" applyFill="1" applyBorder="1" applyAlignment="1">
      <alignment horizontal="center" vertical="center"/>
    </xf>
    <xf numFmtId="0" fontId="59" fillId="3" borderId="9" xfId="0" applyFont="1" applyFill="1" applyBorder="1" applyAlignment="1">
      <alignment horizontal="center" vertical="center"/>
    </xf>
    <xf numFmtId="0" fontId="59" fillId="3" borderId="73" xfId="0" applyFont="1" applyFill="1" applyBorder="1" applyAlignment="1">
      <alignment horizontal="center" vertical="center"/>
    </xf>
    <xf numFmtId="0" fontId="69" fillId="21" borderId="84" xfId="0" applyFont="1" applyFill="1" applyBorder="1" applyAlignment="1">
      <alignment horizontal="center" vertical="center" wrapText="1"/>
    </xf>
    <xf numFmtId="0" fontId="69" fillId="21" borderId="52" xfId="0" applyFont="1" applyFill="1" applyBorder="1" applyAlignment="1">
      <alignment horizontal="center" vertical="center" wrapText="1"/>
    </xf>
    <xf numFmtId="0" fontId="69" fillId="21" borderId="95" xfId="0" applyFont="1" applyFill="1" applyBorder="1" applyAlignment="1">
      <alignment horizontal="center" vertical="center" wrapText="1"/>
    </xf>
    <xf numFmtId="0" fontId="69" fillId="21" borderId="96" xfId="0" applyFont="1" applyFill="1" applyBorder="1" applyAlignment="1">
      <alignment horizontal="center" vertical="center" wrapText="1"/>
    </xf>
    <xf numFmtId="0" fontId="64" fillId="16" borderId="84" xfId="0" applyFont="1" applyFill="1" applyBorder="1" applyAlignment="1">
      <alignment horizontal="center" vertical="center" wrapText="1"/>
    </xf>
    <xf numFmtId="0" fontId="64" fillId="16" borderId="52" xfId="0" applyFont="1" applyFill="1" applyBorder="1" applyAlignment="1">
      <alignment horizontal="center" vertical="center" wrapText="1"/>
    </xf>
    <xf numFmtId="3" fontId="61" fillId="21" borderId="57" xfId="0" applyNumberFormat="1" applyFont="1" applyFill="1" applyBorder="1" applyAlignment="1">
      <alignment horizontal="center" vertical="center"/>
    </xf>
    <xf numFmtId="3" fontId="61" fillId="21" borderId="53" xfId="0" applyNumberFormat="1" applyFont="1" applyFill="1" applyBorder="1" applyAlignment="1">
      <alignment horizontal="center" vertical="center"/>
    </xf>
    <xf numFmtId="165" fontId="78" fillId="15" borderId="18" xfId="0" applyNumberFormat="1" applyFont="1" applyFill="1" applyBorder="1" applyAlignment="1">
      <alignment horizontal="center" vertical="center"/>
    </xf>
    <xf numFmtId="0" fontId="56" fillId="2" borderId="67" xfId="0" applyFont="1" applyFill="1" applyBorder="1" applyAlignment="1">
      <alignment horizontal="left" vertical="top" wrapText="1"/>
    </xf>
    <xf numFmtId="0" fontId="56" fillId="2" borderId="69" xfId="0" applyFont="1" applyFill="1" applyBorder="1" applyAlignment="1">
      <alignment horizontal="left" vertical="top" wrapText="1"/>
    </xf>
    <xf numFmtId="0" fontId="56" fillId="2" borderId="68" xfId="0" applyFont="1" applyFill="1" applyBorder="1" applyAlignment="1">
      <alignment horizontal="left" vertical="top" wrapText="1"/>
    </xf>
    <xf numFmtId="0" fontId="56" fillId="2" borderId="105" xfId="0" applyFont="1" applyFill="1" applyBorder="1" applyAlignment="1">
      <alignment horizontal="left" vertical="top" wrapText="1"/>
    </xf>
    <xf numFmtId="0" fontId="56" fillId="2" borderId="0" xfId="0" applyFont="1" applyFill="1" applyAlignment="1">
      <alignment horizontal="left" vertical="top" wrapText="1"/>
    </xf>
    <xf numFmtId="0" fontId="56" fillId="2" borderId="106" xfId="0" applyFont="1" applyFill="1" applyBorder="1" applyAlignment="1">
      <alignment horizontal="left" vertical="top" wrapText="1"/>
    </xf>
    <xf numFmtId="0" fontId="56" fillId="2" borderId="39" xfId="0" applyFont="1" applyFill="1" applyBorder="1" applyAlignment="1">
      <alignment horizontal="left" vertical="top" wrapText="1"/>
    </xf>
    <xf numFmtId="0" fontId="56" fillId="2" borderId="55" xfId="0" applyFont="1" applyFill="1" applyBorder="1" applyAlignment="1">
      <alignment horizontal="left" vertical="top" wrapText="1"/>
    </xf>
    <xf numFmtId="0" fontId="56" fillId="2" borderId="56" xfId="0" applyFont="1" applyFill="1" applyBorder="1" applyAlignment="1">
      <alignment horizontal="left" vertical="top" wrapText="1"/>
    </xf>
    <xf numFmtId="0" fontId="14" fillId="6" borderId="52" xfId="0" applyFont="1" applyFill="1" applyBorder="1" applyAlignment="1">
      <alignment horizontal="center" vertical="center" wrapText="1"/>
    </xf>
    <xf numFmtId="3" fontId="65" fillId="21" borderId="99" xfId="0" applyNumberFormat="1" applyFont="1" applyFill="1" applyBorder="1" applyAlignment="1">
      <alignment horizontal="center" vertical="center"/>
    </xf>
    <xf numFmtId="3" fontId="65" fillId="21" borderId="100" xfId="0" applyNumberFormat="1" applyFont="1" applyFill="1" applyBorder="1" applyAlignment="1">
      <alignment horizontal="center" vertical="center"/>
    </xf>
    <xf numFmtId="3" fontId="65" fillId="21" borderId="104" xfId="0" applyNumberFormat="1" applyFont="1" applyFill="1" applyBorder="1" applyAlignment="1">
      <alignment horizontal="center" vertical="center"/>
    </xf>
    <xf numFmtId="0" fontId="46" fillId="3" borderId="93" xfId="0" applyFont="1" applyFill="1" applyBorder="1" applyAlignment="1">
      <alignment horizontal="center" vertical="center" wrapText="1"/>
    </xf>
    <xf numFmtId="0" fontId="46" fillId="3" borderId="30" xfId="0" applyFont="1" applyFill="1" applyBorder="1" applyAlignment="1">
      <alignment horizontal="center" vertical="center" wrapText="1"/>
    </xf>
    <xf numFmtId="0" fontId="46" fillId="3" borderId="3" xfId="0" applyFont="1" applyFill="1" applyBorder="1" applyAlignment="1">
      <alignment horizontal="center" vertical="center" wrapText="1"/>
    </xf>
    <xf numFmtId="0" fontId="46" fillId="3" borderId="94" xfId="0" applyFont="1" applyFill="1" applyBorder="1" applyAlignment="1">
      <alignment horizontal="center" vertical="center" wrapText="1"/>
    </xf>
    <xf numFmtId="0" fontId="11" fillId="15" borderId="9" xfId="0" applyFont="1" applyFill="1" applyBorder="1" applyAlignment="1">
      <alignment horizontal="center" vertical="center" wrapText="1"/>
    </xf>
    <xf numFmtId="0" fontId="11" fillId="15" borderId="73" xfId="0" applyFont="1" applyFill="1" applyBorder="1" applyAlignment="1">
      <alignment horizontal="center" vertical="center" wrapText="1"/>
    </xf>
    <xf numFmtId="1" fontId="59" fillId="18" borderId="84" xfId="0" applyNumberFormat="1" applyFont="1" applyFill="1" applyBorder="1" applyAlignment="1">
      <alignment horizontal="center" vertical="center"/>
    </xf>
    <xf numFmtId="1" fontId="59" fillId="18" borderId="58" xfId="0" applyNumberFormat="1" applyFont="1" applyFill="1" applyBorder="1" applyAlignment="1">
      <alignment horizontal="center" vertical="center"/>
    </xf>
    <xf numFmtId="1" fontId="59" fillId="6" borderId="57" xfId="0" applyNumberFormat="1" applyFont="1" applyFill="1" applyBorder="1" applyAlignment="1">
      <alignment horizontal="center" vertical="center"/>
    </xf>
    <xf numFmtId="1" fontId="59" fillId="6" borderId="85" xfId="0" applyNumberFormat="1" applyFont="1" applyFill="1" applyBorder="1" applyAlignment="1">
      <alignment horizontal="center" vertical="center"/>
    </xf>
    <xf numFmtId="0" fontId="26" fillId="15" borderId="85" xfId="0" applyFont="1" applyFill="1" applyBorder="1" applyAlignment="1">
      <alignment horizontal="center" vertical="top" wrapText="1"/>
    </xf>
    <xf numFmtId="0" fontId="26" fillId="15" borderId="89" xfId="0" applyFont="1" applyFill="1" applyBorder="1" applyAlignment="1">
      <alignment horizontal="center" vertical="top" wrapText="1"/>
    </xf>
    <xf numFmtId="0" fontId="26" fillId="15" borderId="88" xfId="0" applyFont="1" applyFill="1" applyBorder="1" applyAlignment="1">
      <alignment horizontal="center" vertical="top" wrapText="1"/>
    </xf>
    <xf numFmtId="0" fontId="26" fillId="15" borderId="90" xfId="0" applyFont="1" applyFill="1" applyBorder="1" applyAlignment="1">
      <alignment horizontal="center" vertical="top" wrapText="1"/>
    </xf>
    <xf numFmtId="1" fontId="59" fillId="16" borderId="57" xfId="0" applyNumberFormat="1" applyFont="1" applyFill="1" applyBorder="1" applyAlignment="1">
      <alignment horizontal="center" vertical="center"/>
    </xf>
    <xf numFmtId="1" fontId="59" fillId="16" borderId="85" xfId="0" applyNumberFormat="1" applyFont="1" applyFill="1" applyBorder="1" applyAlignment="1">
      <alignment horizontal="center" vertical="center"/>
    </xf>
    <xf numFmtId="3" fontId="65" fillId="18" borderId="99" xfId="0" applyNumberFormat="1" applyFont="1" applyFill="1" applyBorder="1" applyAlignment="1">
      <alignment horizontal="center" vertical="center"/>
    </xf>
    <xf numFmtId="3" fontId="65" fillId="18" borderId="100" xfId="0" applyNumberFormat="1" applyFont="1" applyFill="1" applyBorder="1" applyAlignment="1">
      <alignment horizontal="center" vertical="center"/>
    </xf>
    <xf numFmtId="3" fontId="65" fillId="18" borderId="97" xfId="0" applyNumberFormat="1" applyFont="1" applyFill="1" applyBorder="1" applyAlignment="1">
      <alignment horizontal="center" vertical="center"/>
    </xf>
    <xf numFmtId="3" fontId="65" fillId="18" borderId="103" xfId="0" applyNumberFormat="1" applyFont="1" applyFill="1" applyBorder="1" applyAlignment="1">
      <alignment horizontal="center" vertical="center"/>
    </xf>
    <xf numFmtId="0" fontId="14" fillId="16" borderId="52" xfId="0" applyFont="1" applyFill="1" applyBorder="1" applyAlignment="1">
      <alignment horizontal="center" vertical="center" wrapText="1"/>
    </xf>
    <xf numFmtId="0" fontId="14" fillId="16" borderId="58" xfId="0" applyFont="1" applyFill="1" applyBorder="1" applyAlignment="1">
      <alignment horizontal="center" vertical="center" wrapText="1"/>
    </xf>
    <xf numFmtId="3" fontId="65" fillId="16" borderId="99" xfId="0" applyNumberFormat="1" applyFont="1" applyFill="1" applyBorder="1" applyAlignment="1">
      <alignment horizontal="center" vertical="center"/>
    </xf>
    <xf numFmtId="3" fontId="65" fillId="16" borderId="100" xfId="0" applyNumberFormat="1" applyFont="1" applyFill="1" applyBorder="1" applyAlignment="1">
      <alignment horizontal="center" vertical="center"/>
    </xf>
    <xf numFmtId="3" fontId="65" fillId="16" borderId="104" xfId="0" applyNumberFormat="1" applyFont="1" applyFill="1" applyBorder="1" applyAlignment="1">
      <alignment horizontal="center" vertical="center"/>
    </xf>
    <xf numFmtId="10" fontId="64" fillId="16" borderId="18" xfId="0" applyNumberFormat="1" applyFont="1" applyFill="1" applyBorder="1" applyAlignment="1">
      <alignment horizontal="center" vertical="center"/>
    </xf>
    <xf numFmtId="0" fontId="41" fillId="15" borderId="0" xfId="0" applyFont="1" applyFill="1" applyAlignment="1">
      <alignment horizontal="center" vertical="center" wrapText="1"/>
    </xf>
    <xf numFmtId="0" fontId="41" fillId="15" borderId="89" xfId="0" applyFont="1" applyFill="1" applyBorder="1" applyAlignment="1">
      <alignment horizontal="center" vertical="center" wrapText="1"/>
    </xf>
    <xf numFmtId="0" fontId="70" fillId="21" borderId="57" xfId="0" applyFont="1" applyFill="1" applyBorder="1" applyAlignment="1">
      <alignment horizontal="center" vertical="center" wrapText="1"/>
    </xf>
    <xf numFmtId="0" fontId="70" fillId="21" borderId="50" xfId="0" applyFont="1" applyFill="1" applyBorder="1" applyAlignment="1">
      <alignment horizontal="center" vertical="center" wrapText="1"/>
    </xf>
    <xf numFmtId="3" fontId="65" fillId="16" borderId="97" xfId="0" applyNumberFormat="1" applyFont="1" applyFill="1" applyBorder="1" applyAlignment="1">
      <alignment horizontal="center" vertical="center"/>
    </xf>
    <xf numFmtId="3" fontId="65" fillId="16" borderId="98" xfId="0" applyNumberFormat="1" applyFont="1" applyFill="1" applyBorder="1" applyAlignment="1">
      <alignment horizontal="center" vertical="center"/>
    </xf>
    <xf numFmtId="3" fontId="65" fillId="16" borderId="84" xfId="0" applyNumberFormat="1" applyFont="1" applyFill="1" applyBorder="1" applyAlignment="1">
      <alignment horizontal="center" vertical="center"/>
    </xf>
    <xf numFmtId="3" fontId="65" fillId="16" borderId="107" xfId="0" applyNumberFormat="1" applyFont="1" applyFill="1" applyBorder="1" applyAlignment="1">
      <alignment horizontal="center" vertical="center"/>
    </xf>
    <xf numFmtId="0" fontId="42" fillId="16" borderId="84" xfId="0" applyFont="1" applyFill="1" applyBorder="1" applyAlignment="1">
      <alignment horizontal="center" vertical="center"/>
    </xf>
    <xf numFmtId="0" fontId="42" fillId="16" borderId="52" xfId="0" applyFont="1" applyFill="1" applyBorder="1" applyAlignment="1">
      <alignment horizontal="center" vertical="center"/>
    </xf>
    <xf numFmtId="0" fontId="42" fillId="16" borderId="58" xfId="0" applyFont="1" applyFill="1" applyBorder="1" applyAlignment="1">
      <alignment horizontal="center" vertical="center"/>
    </xf>
    <xf numFmtId="0" fontId="42" fillId="6" borderId="198" xfId="0" applyFont="1" applyFill="1" applyBorder="1" applyAlignment="1">
      <alignment horizontal="center" vertical="center"/>
    </xf>
    <xf numFmtId="0" fontId="42" fillId="6" borderId="52" xfId="0" applyFont="1" applyFill="1" applyBorder="1" applyAlignment="1">
      <alignment horizontal="center" vertical="center"/>
    </xf>
    <xf numFmtId="0" fontId="42" fillId="6" borderId="58" xfId="0" applyFont="1" applyFill="1" applyBorder="1" applyAlignment="1">
      <alignment horizontal="center" vertical="center"/>
    </xf>
    <xf numFmtId="0" fontId="42" fillId="21" borderId="198" xfId="0" applyFont="1" applyFill="1" applyBorder="1" applyAlignment="1">
      <alignment horizontal="center" vertical="center"/>
    </xf>
    <xf numFmtId="0" fontId="42" fillId="21" borderId="52" xfId="0" applyFont="1" applyFill="1" applyBorder="1" applyAlignment="1">
      <alignment horizontal="center" vertical="center"/>
    </xf>
    <xf numFmtId="0" fontId="42" fillId="21" borderId="58" xfId="0" applyFont="1" applyFill="1" applyBorder="1" applyAlignment="1">
      <alignment horizontal="center" vertical="center"/>
    </xf>
    <xf numFmtId="10" fontId="64" fillId="21" borderId="18" xfId="0" applyNumberFormat="1" applyFont="1" applyFill="1" applyBorder="1" applyAlignment="1">
      <alignment horizontal="center" vertical="center"/>
    </xf>
    <xf numFmtId="0" fontId="52" fillId="4" borderId="59" xfId="0" applyFont="1" applyFill="1" applyBorder="1" applyAlignment="1">
      <alignment horizontal="center" vertical="center" wrapText="1"/>
    </xf>
    <xf numFmtId="0" fontId="52" fillId="4" borderId="101" xfId="0" applyFont="1" applyFill="1" applyBorder="1" applyAlignment="1">
      <alignment horizontal="center" vertical="center" wrapText="1"/>
    </xf>
    <xf numFmtId="0" fontId="54" fillId="4" borderId="59" xfId="0" applyFont="1" applyFill="1" applyBorder="1" applyAlignment="1">
      <alignment horizontal="center" vertical="center" wrapText="1"/>
    </xf>
    <xf numFmtId="0" fontId="54" fillId="4" borderId="101" xfId="0" applyFont="1" applyFill="1" applyBorder="1" applyAlignment="1">
      <alignment horizontal="center" vertical="center" wrapText="1"/>
    </xf>
    <xf numFmtId="0" fontId="64" fillId="16" borderId="2" xfId="0" applyFont="1" applyFill="1" applyBorder="1" applyAlignment="1">
      <alignment horizontal="center" vertical="center" wrapText="1"/>
    </xf>
    <xf numFmtId="0" fontId="64" fillId="16" borderId="4" xfId="0" applyFont="1" applyFill="1" applyBorder="1" applyAlignment="1">
      <alignment horizontal="center" vertical="center" wrapText="1"/>
    </xf>
    <xf numFmtId="0" fontId="64" fillId="16" borderId="131" xfId="0" applyFont="1" applyFill="1" applyBorder="1" applyAlignment="1">
      <alignment horizontal="center" wrapText="1"/>
    </xf>
    <xf numFmtId="0" fontId="64" fillId="16" borderId="126" xfId="0" applyFont="1" applyFill="1" applyBorder="1" applyAlignment="1">
      <alignment horizontal="center" wrapText="1"/>
    </xf>
    <xf numFmtId="10" fontId="64" fillId="6" borderId="18" xfId="0" applyNumberFormat="1" applyFont="1" applyFill="1" applyBorder="1" applyAlignment="1">
      <alignment horizontal="center" vertical="center"/>
    </xf>
    <xf numFmtId="10" fontId="64" fillId="3" borderId="18" xfId="0" applyNumberFormat="1" applyFont="1" applyFill="1" applyBorder="1" applyAlignment="1">
      <alignment horizontal="center" vertical="center"/>
    </xf>
    <xf numFmtId="0" fontId="18" fillId="15" borderId="168" xfId="0" applyFont="1" applyFill="1" applyBorder="1" applyAlignment="1">
      <alignment horizontal="center" vertical="center"/>
    </xf>
    <xf numFmtId="0" fontId="18" fillId="15" borderId="150" xfId="0" applyFont="1" applyFill="1" applyBorder="1" applyAlignment="1">
      <alignment horizontal="center" vertical="center"/>
    </xf>
    <xf numFmtId="0" fontId="18" fillId="15" borderId="73" xfId="0" applyFont="1" applyFill="1" applyBorder="1" applyAlignment="1">
      <alignment horizontal="center" vertical="center"/>
    </xf>
    <xf numFmtId="0" fontId="24" fillId="21" borderId="18" xfId="0" applyFont="1" applyFill="1" applyBorder="1" applyAlignment="1">
      <alignment horizontal="center" vertical="center" wrapText="1"/>
    </xf>
    <xf numFmtId="0" fontId="3" fillId="16" borderId="18" xfId="0" applyFont="1" applyFill="1" applyBorder="1" applyAlignment="1">
      <alignment horizontal="center" vertical="center" wrapText="1"/>
    </xf>
    <xf numFmtId="0" fontId="3" fillId="37" borderId="162" xfId="0" applyFont="1" applyFill="1" applyBorder="1" applyAlignment="1">
      <alignment horizontal="center" vertical="center" wrapText="1"/>
    </xf>
    <xf numFmtId="0" fontId="3" fillId="37" borderId="109" xfId="0" applyFont="1" applyFill="1" applyBorder="1" applyAlignment="1">
      <alignment horizontal="center" vertical="center" wrapText="1"/>
    </xf>
    <xf numFmtId="0" fontId="3" fillId="16" borderId="138" xfId="0" applyFont="1" applyFill="1" applyBorder="1" applyAlignment="1">
      <alignment horizontal="center" vertical="center" wrapText="1"/>
    </xf>
    <xf numFmtId="0" fontId="3" fillId="16" borderId="158" xfId="0" applyFont="1" applyFill="1" applyBorder="1" applyAlignment="1">
      <alignment horizontal="center" vertical="center" wrapText="1"/>
    </xf>
    <xf numFmtId="0" fontId="83" fillId="35" borderId="32" xfId="0" applyFont="1" applyFill="1" applyBorder="1" applyAlignment="1">
      <alignment horizontal="center" vertical="center"/>
    </xf>
    <xf numFmtId="0" fontId="83" fillId="35" borderId="0" xfId="0" applyFont="1" applyFill="1" applyAlignment="1">
      <alignment horizontal="center" vertical="center"/>
    </xf>
    <xf numFmtId="0" fontId="83" fillId="35" borderId="60" xfId="0" applyFont="1" applyFill="1" applyBorder="1" applyAlignment="1">
      <alignment horizontal="center" vertical="center"/>
    </xf>
    <xf numFmtId="0" fontId="13" fillId="19" borderId="6" xfId="0" applyFont="1" applyFill="1" applyBorder="1" applyAlignment="1">
      <alignment horizontal="center" vertical="center"/>
    </xf>
    <xf numFmtId="0" fontId="13" fillId="19" borderId="30" xfId="0" applyFont="1" applyFill="1" applyBorder="1" applyAlignment="1">
      <alignment horizontal="center" vertical="center"/>
    </xf>
    <xf numFmtId="0" fontId="13" fillId="19" borderId="38" xfId="0" applyFont="1" applyFill="1" applyBorder="1" applyAlignment="1">
      <alignment horizontal="center" vertical="center"/>
    </xf>
    <xf numFmtId="0" fontId="13" fillId="19" borderId="7" xfId="0" applyFont="1" applyFill="1" applyBorder="1" applyAlignment="1">
      <alignment horizontal="center" vertical="center"/>
    </xf>
    <xf numFmtId="0" fontId="13" fillId="19" borderId="5" xfId="0" applyFont="1" applyFill="1" applyBorder="1" applyAlignment="1">
      <alignment horizontal="center" vertical="center"/>
    </xf>
    <xf numFmtId="0" fontId="13" fillId="19" borderId="8" xfId="0" applyFont="1" applyFill="1" applyBorder="1" applyAlignment="1">
      <alignment horizontal="center" vertical="center"/>
    </xf>
    <xf numFmtId="0" fontId="5" fillId="21" borderId="167" xfId="0" applyFont="1" applyFill="1" applyBorder="1" applyAlignment="1">
      <alignment horizontal="center" vertical="center" wrapText="1"/>
    </xf>
    <xf numFmtId="0" fontId="5" fillId="21" borderId="169" xfId="0" applyFont="1" applyFill="1" applyBorder="1" applyAlignment="1">
      <alignment horizontal="center" vertical="center" wrapText="1"/>
    </xf>
    <xf numFmtId="0" fontId="3" fillId="17" borderId="18" xfId="0" applyFont="1" applyFill="1" applyBorder="1" applyAlignment="1">
      <alignment horizontal="center" vertical="center"/>
    </xf>
    <xf numFmtId="0" fontId="25" fillId="19" borderId="18" xfId="0" applyFont="1" applyFill="1" applyBorder="1" applyAlignment="1">
      <alignment horizontal="center" vertical="center"/>
    </xf>
    <xf numFmtId="0" fontId="16" fillId="37" borderId="7" xfId="0" applyFont="1" applyFill="1" applyBorder="1" applyAlignment="1">
      <alignment horizontal="center" vertical="center" wrapText="1"/>
    </xf>
    <xf numFmtId="0" fontId="16" fillId="37" borderId="8" xfId="0" applyFont="1" applyFill="1" applyBorder="1" applyAlignment="1">
      <alignment horizontal="center" vertical="center" wrapText="1"/>
    </xf>
    <xf numFmtId="0" fontId="23" fillId="13" borderId="2" xfId="0" applyFont="1" applyFill="1" applyBorder="1" applyAlignment="1">
      <alignment horizontal="center"/>
    </xf>
    <xf numFmtId="0" fontId="23" fillId="13" borderId="8" xfId="0" applyFont="1" applyFill="1" applyBorder="1" applyAlignment="1">
      <alignment horizontal="center"/>
    </xf>
    <xf numFmtId="0" fontId="10" fillId="13" borderId="2" xfId="0" applyFont="1" applyFill="1" applyBorder="1" applyAlignment="1">
      <alignment horizontal="center"/>
    </xf>
    <xf numFmtId="0" fontId="10" fillId="13" borderId="4" xfId="0" applyFont="1" applyFill="1" applyBorder="1" applyAlignment="1">
      <alignment horizontal="center"/>
    </xf>
    <xf numFmtId="0" fontId="24" fillId="13" borderId="2" xfId="0" applyFont="1" applyFill="1" applyBorder="1" applyAlignment="1">
      <alignment horizontal="center" wrapText="1"/>
    </xf>
    <xf numFmtId="0" fontId="24" fillId="13" borderId="4" xfId="0" applyFont="1" applyFill="1" applyBorder="1" applyAlignment="1">
      <alignment horizontal="center" wrapText="1"/>
    </xf>
    <xf numFmtId="0" fontId="18" fillId="12" borderId="6" xfId="0" applyFont="1" applyFill="1" applyBorder="1" applyAlignment="1">
      <alignment horizontal="center" vertical="center" wrapText="1"/>
    </xf>
    <xf numFmtId="0" fontId="18" fillId="12" borderId="0" xfId="0" applyFont="1" applyFill="1" applyAlignment="1">
      <alignment horizontal="center" vertical="center" wrapText="1"/>
    </xf>
    <xf numFmtId="0" fontId="18" fillId="12" borderId="14" xfId="0" applyFont="1" applyFill="1" applyBorder="1" applyAlignment="1">
      <alignment horizontal="center" vertical="center" wrapText="1"/>
    </xf>
    <xf numFmtId="0" fontId="18" fillId="12" borderId="7" xfId="0" applyFont="1" applyFill="1" applyBorder="1" applyAlignment="1">
      <alignment horizontal="center" vertical="center" wrapText="1"/>
    </xf>
    <xf numFmtId="0" fontId="5" fillId="15" borderId="119" xfId="0" applyFont="1" applyFill="1" applyBorder="1" applyAlignment="1">
      <alignment horizontal="center"/>
    </xf>
    <xf numFmtId="0" fontId="5" fillId="15" borderId="3" xfId="0" applyFont="1" applyFill="1" applyBorder="1" applyAlignment="1">
      <alignment horizontal="center"/>
    </xf>
    <xf numFmtId="0" fontId="5" fillId="15" borderId="4" xfId="0" applyFont="1" applyFill="1" applyBorder="1" applyAlignment="1">
      <alignment horizontal="center"/>
    </xf>
    <xf numFmtId="0" fontId="5" fillId="5" borderId="3"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15" borderId="2" xfId="0" applyFont="1" applyFill="1" applyBorder="1" applyAlignment="1">
      <alignment horizontal="center" vertical="center"/>
    </xf>
    <xf numFmtId="0" fontId="5" fillId="15" borderId="4" xfId="0" applyFont="1" applyFill="1" applyBorder="1" applyAlignment="1">
      <alignment horizontal="center" vertical="center"/>
    </xf>
    <xf numFmtId="0" fontId="18" fillId="12" borderId="5" xfId="0" applyFont="1" applyFill="1" applyBorder="1" applyAlignment="1">
      <alignment horizontal="center" vertical="center" wrapText="1"/>
    </xf>
    <xf numFmtId="0" fontId="18" fillId="12" borderId="8" xfId="0" applyFont="1" applyFill="1" applyBorder="1" applyAlignment="1">
      <alignment horizontal="center" vertical="center" wrapText="1"/>
    </xf>
    <xf numFmtId="0" fontId="5" fillId="9" borderId="2" xfId="0" applyFont="1" applyFill="1" applyBorder="1" applyAlignment="1">
      <alignment horizontal="center"/>
    </xf>
    <xf numFmtId="0" fontId="5" fillId="9" borderId="3" xfId="0" applyFont="1" applyFill="1" applyBorder="1" applyAlignment="1">
      <alignment horizontal="center"/>
    </xf>
    <xf numFmtId="0" fontId="5" fillId="9" borderId="4" xfId="0" applyFont="1" applyFill="1" applyBorder="1" applyAlignment="1">
      <alignment horizontal="center"/>
    </xf>
    <xf numFmtId="0" fontId="5" fillId="4" borderId="3" xfId="0" applyFont="1" applyFill="1" applyBorder="1" applyAlignment="1">
      <alignment horizontal="right"/>
    </xf>
    <xf numFmtId="0" fontId="5" fillId="4" borderId="4" xfId="0" applyFont="1" applyFill="1" applyBorder="1" applyAlignment="1">
      <alignment horizontal="right"/>
    </xf>
    <xf numFmtId="0" fontId="5" fillId="4" borderId="2" xfId="0" applyFont="1" applyFill="1" applyBorder="1" applyAlignment="1">
      <alignment horizontal="center"/>
    </xf>
    <xf numFmtId="0" fontId="5" fillId="4" borderId="4" xfId="0" applyFont="1" applyFill="1" applyBorder="1" applyAlignment="1">
      <alignment horizontal="center"/>
    </xf>
    <xf numFmtId="0" fontId="5" fillId="4" borderId="2"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2" xfId="0" applyFont="1" applyFill="1" applyBorder="1" applyAlignment="1">
      <alignment horizontal="right"/>
    </xf>
    <xf numFmtId="0" fontId="18" fillId="12" borderId="19" xfId="0" applyFont="1" applyFill="1" applyBorder="1" applyAlignment="1">
      <alignment horizontal="center" vertical="center" wrapText="1"/>
    </xf>
    <xf numFmtId="0" fontId="10" fillId="13" borderId="3" xfId="0" applyFont="1" applyFill="1" applyBorder="1" applyAlignment="1">
      <alignment horizontal="center"/>
    </xf>
    <xf numFmtId="0" fontId="23" fillId="13" borderId="3" xfId="0" applyFont="1" applyFill="1" applyBorder="1" applyAlignment="1">
      <alignment horizontal="center"/>
    </xf>
    <xf numFmtId="0" fontId="5" fillId="18" borderId="18" xfId="0" applyFont="1" applyFill="1" applyBorder="1" applyAlignment="1">
      <alignment horizontal="center" vertical="center"/>
    </xf>
    <xf numFmtId="0" fontId="48" fillId="20" borderId="16" xfId="0" applyFont="1" applyFill="1" applyBorder="1" applyAlignment="1">
      <alignment horizontal="center"/>
    </xf>
    <xf numFmtId="0" fontId="48" fillId="20" borderId="55" xfId="0" applyFont="1" applyFill="1" applyBorder="1" applyAlignment="1">
      <alignment horizontal="center"/>
    </xf>
    <xf numFmtId="0" fontId="48" fillId="20" borderId="56" xfId="0" applyFont="1" applyFill="1" applyBorder="1" applyAlignment="1">
      <alignment horizontal="center"/>
    </xf>
    <xf numFmtId="0" fontId="5" fillId="4" borderId="2" xfId="0" applyFont="1" applyFill="1" applyBorder="1" applyAlignment="1">
      <alignment horizontal="left"/>
    </xf>
    <xf numFmtId="0" fontId="5" fillId="4" borderId="4" xfId="0" applyFont="1" applyFill="1" applyBorder="1" applyAlignment="1">
      <alignment horizontal="left"/>
    </xf>
    <xf numFmtId="0" fontId="5" fillId="9" borderId="5" xfId="0" applyFont="1" applyFill="1" applyBorder="1" applyAlignment="1">
      <alignment horizontal="center"/>
    </xf>
    <xf numFmtId="0" fontId="5" fillId="9" borderId="30" xfId="0" applyFont="1" applyFill="1" applyBorder="1" applyAlignment="1">
      <alignment horizontal="center"/>
    </xf>
    <xf numFmtId="0" fontId="5" fillId="9" borderId="38" xfId="0" applyFont="1" applyFill="1" applyBorder="1" applyAlignment="1">
      <alignment horizontal="center"/>
    </xf>
    <xf numFmtId="0" fontId="5" fillId="5" borderId="2" xfId="0" applyFont="1" applyFill="1" applyBorder="1" applyAlignment="1">
      <alignment horizontal="center" vertical="center"/>
    </xf>
    <xf numFmtId="0" fontId="5" fillId="5" borderId="4" xfId="0" applyFont="1" applyFill="1" applyBorder="1" applyAlignment="1">
      <alignment horizontal="center" vertical="center"/>
    </xf>
    <xf numFmtId="3" fontId="64" fillId="15" borderId="0" xfId="0" applyNumberFormat="1" applyFont="1" applyFill="1" applyAlignment="1">
      <alignment horizontal="right" vertical="center"/>
    </xf>
    <xf numFmtId="0" fontId="52" fillId="9" borderId="6" xfId="0" applyFont="1" applyFill="1" applyBorder="1" applyAlignment="1">
      <alignment horizontal="center" vertical="center" wrapText="1"/>
    </xf>
    <xf numFmtId="0" fontId="52" fillId="9" borderId="30" xfId="0" applyFont="1" applyFill="1" applyBorder="1" applyAlignment="1">
      <alignment horizontal="center" vertical="center" wrapText="1"/>
    </xf>
    <xf numFmtId="0" fontId="52" fillId="9" borderId="38" xfId="0" applyFont="1" applyFill="1" applyBorder="1" applyAlignment="1">
      <alignment horizontal="center" vertical="center" wrapText="1"/>
    </xf>
    <xf numFmtId="0" fontId="52" fillId="9" borderId="19" xfId="0" applyFont="1" applyFill="1" applyBorder="1" applyAlignment="1">
      <alignment horizontal="center" vertical="center" wrapText="1"/>
    </xf>
    <xf numFmtId="0" fontId="52" fillId="9" borderId="0" xfId="0" applyFont="1" applyFill="1" applyAlignment="1">
      <alignment horizontal="center" vertical="center" wrapText="1"/>
    </xf>
    <xf numFmtId="0" fontId="52" fillId="9" borderId="14" xfId="0" applyFont="1" applyFill="1" applyBorder="1" applyAlignment="1">
      <alignment horizontal="center" vertical="center" wrapText="1"/>
    </xf>
    <xf numFmtId="0" fontId="52" fillId="9" borderId="7" xfId="0" applyFont="1" applyFill="1" applyBorder="1" applyAlignment="1">
      <alignment horizontal="center" vertical="center" wrapText="1"/>
    </xf>
    <xf numFmtId="0" fontId="52" fillId="9" borderId="5" xfId="0" applyFont="1" applyFill="1" applyBorder="1" applyAlignment="1">
      <alignment horizontal="center" vertical="center" wrapText="1"/>
    </xf>
    <xf numFmtId="0" fontId="52" fillId="9" borderId="8" xfId="0" applyFont="1" applyFill="1" applyBorder="1" applyAlignment="1">
      <alignment horizontal="center" vertical="center" wrapText="1"/>
    </xf>
    <xf numFmtId="0" fontId="15" fillId="21" borderId="2" xfId="0" applyFont="1" applyFill="1" applyBorder="1" applyAlignment="1">
      <alignment horizontal="left" vertical="top" wrapText="1"/>
    </xf>
    <xf numFmtId="0" fontId="15" fillId="21" borderId="3" xfId="0" applyFont="1" applyFill="1" applyBorder="1" applyAlignment="1">
      <alignment horizontal="left" vertical="top" wrapText="1"/>
    </xf>
    <xf numFmtId="0" fontId="15" fillId="21" borderId="4" xfId="0" applyFont="1" applyFill="1" applyBorder="1" applyAlignment="1">
      <alignment horizontal="left" vertical="top" wrapText="1"/>
    </xf>
    <xf numFmtId="0" fontId="18" fillId="15" borderId="2" xfId="0" applyFont="1" applyFill="1" applyBorder="1" applyAlignment="1">
      <alignment horizontal="center" vertical="center"/>
    </xf>
    <xf numFmtId="0" fontId="18" fillId="15" borderId="4" xfId="0" applyFont="1" applyFill="1" applyBorder="1" applyAlignment="1">
      <alignment horizontal="center" vertical="center"/>
    </xf>
    <xf numFmtId="0" fontId="11" fillId="27" borderId="118" xfId="0" applyFont="1" applyFill="1" applyBorder="1" applyAlignment="1">
      <alignment horizontal="center"/>
    </xf>
    <xf numFmtId="0" fontId="11" fillId="27" borderId="153" xfId="0" applyFont="1" applyFill="1" applyBorder="1" applyAlignment="1">
      <alignment horizontal="center"/>
    </xf>
    <xf numFmtId="0" fontId="11" fillId="27" borderId="154" xfId="0" applyFont="1" applyFill="1" applyBorder="1" applyAlignment="1">
      <alignment horizontal="center"/>
    </xf>
    <xf numFmtId="0" fontId="3" fillId="19" borderId="108" xfId="0" applyFont="1" applyFill="1" applyBorder="1" applyAlignment="1">
      <alignment horizontal="center" vertical="center" wrapText="1"/>
    </xf>
    <xf numFmtId="0" fontId="3" fillId="19" borderId="109" xfId="0" applyFont="1" applyFill="1" applyBorder="1" applyAlignment="1">
      <alignment horizontal="center" vertical="center" wrapText="1"/>
    </xf>
    <xf numFmtId="0" fontId="3" fillId="33" borderId="6" xfId="0" applyFont="1" applyFill="1" applyBorder="1" applyAlignment="1">
      <alignment horizontal="center" vertical="center" wrapText="1"/>
    </xf>
    <xf numFmtId="0" fontId="3" fillId="33" borderId="30" xfId="0" applyFont="1" applyFill="1" applyBorder="1" applyAlignment="1">
      <alignment horizontal="center" vertical="center" wrapText="1"/>
    </xf>
    <xf numFmtId="0" fontId="3" fillId="33" borderId="38" xfId="0" applyFont="1" applyFill="1" applyBorder="1" applyAlignment="1">
      <alignment horizontal="center" vertical="center" wrapText="1"/>
    </xf>
    <xf numFmtId="0" fontId="3" fillId="33" borderId="7" xfId="0" applyFont="1" applyFill="1" applyBorder="1" applyAlignment="1">
      <alignment horizontal="center" vertical="center" wrapText="1"/>
    </xf>
    <xf numFmtId="0" fontId="3" fillId="33" borderId="5" xfId="0" applyFont="1" applyFill="1" applyBorder="1" applyAlignment="1">
      <alignment horizontal="center" vertical="center" wrapText="1"/>
    </xf>
    <xf numFmtId="0" fontId="3" fillId="33" borderId="8" xfId="0" applyFont="1" applyFill="1" applyBorder="1" applyAlignment="1">
      <alignment horizontal="center" vertical="center" wrapText="1"/>
    </xf>
    <xf numFmtId="3" fontId="0" fillId="0" borderId="18" xfId="0" applyNumberFormat="1" applyBorder="1" applyAlignment="1">
      <alignment horizontal="center"/>
    </xf>
    <xf numFmtId="0" fontId="0" fillId="0" borderId="46" xfId="0" applyBorder="1" applyAlignment="1">
      <alignment horizontal="center" vertical="center"/>
    </xf>
    <xf numFmtId="0" fontId="0" fillId="0" borderId="36" xfId="0" applyBorder="1" applyAlignment="1">
      <alignment horizontal="center" vertical="center"/>
    </xf>
    <xf numFmtId="0" fontId="5" fillId="2" borderId="189" xfId="0" applyFont="1" applyFill="1" applyBorder="1" applyAlignment="1">
      <alignment horizontal="center" vertical="center" wrapText="1"/>
    </xf>
    <xf numFmtId="3" fontId="0" fillId="0" borderId="59" xfId="0" applyNumberFormat="1" applyBorder="1" applyAlignment="1">
      <alignment horizontal="center"/>
    </xf>
    <xf numFmtId="3" fontId="5" fillId="2" borderId="180" xfId="0" applyNumberFormat="1" applyFont="1" applyFill="1" applyBorder="1" applyAlignment="1">
      <alignment horizontal="center"/>
    </xf>
    <xf numFmtId="0" fontId="0" fillId="0" borderId="18" xfId="0" applyBorder="1" applyAlignment="1">
      <alignment horizontal="center"/>
    </xf>
    <xf numFmtId="0" fontId="14" fillId="2" borderId="175" xfId="0" applyFont="1" applyFill="1" applyBorder="1" applyAlignment="1">
      <alignment horizontal="center" vertical="center" wrapText="1"/>
    </xf>
    <xf numFmtId="0" fontId="14" fillId="2" borderId="177" xfId="0" applyFont="1" applyFill="1" applyBorder="1" applyAlignment="1">
      <alignment horizontal="center" vertical="center" wrapText="1"/>
    </xf>
    <xf numFmtId="0" fontId="5" fillId="2" borderId="172" xfId="0" applyFont="1" applyFill="1" applyBorder="1" applyAlignment="1">
      <alignment horizontal="center" wrapText="1"/>
    </xf>
    <xf numFmtId="0" fontId="5" fillId="2" borderId="173" xfId="0" applyFont="1" applyFill="1" applyBorder="1" applyAlignment="1">
      <alignment horizontal="center" wrapText="1"/>
    </xf>
    <xf numFmtId="0" fontId="0" fillId="4" borderId="18" xfId="0" applyFill="1" applyBorder="1" applyAlignment="1">
      <alignment horizontal="center" vertical="center"/>
    </xf>
    <xf numFmtId="0" fontId="0" fillId="19" borderId="18" xfId="0" applyFill="1" applyBorder="1" applyAlignment="1">
      <alignment horizontal="center" vertical="center"/>
    </xf>
    <xf numFmtId="0" fontId="12" fillId="17" borderId="185" xfId="0" applyFont="1" applyFill="1" applyBorder="1" applyAlignment="1">
      <alignment horizontal="center"/>
    </xf>
    <xf numFmtId="0" fontId="12" fillId="17" borderId="187" xfId="0" applyFont="1" applyFill="1" applyBorder="1" applyAlignment="1">
      <alignment horizontal="center"/>
    </xf>
    <xf numFmtId="0" fontId="12" fillId="17" borderId="192" xfId="0" applyFont="1" applyFill="1" applyBorder="1" applyAlignment="1">
      <alignment horizontal="center"/>
    </xf>
    <xf numFmtId="0" fontId="12" fillId="17" borderId="190" xfId="0" applyFont="1" applyFill="1" applyBorder="1" applyAlignment="1">
      <alignment horizontal="center"/>
    </xf>
    <xf numFmtId="0" fontId="12" fillId="17" borderId="188" xfId="0" applyFont="1" applyFill="1" applyBorder="1" applyAlignment="1">
      <alignment horizontal="center"/>
    </xf>
    <xf numFmtId="0" fontId="0" fillId="14" borderId="43" xfId="0" applyFill="1" applyBorder="1" applyAlignment="1">
      <alignment horizontal="center"/>
    </xf>
    <xf numFmtId="0" fontId="0" fillId="14" borderId="44" xfId="0" applyFill="1" applyBorder="1" applyAlignment="1">
      <alignment horizontal="center"/>
    </xf>
    <xf numFmtId="0" fontId="0" fillId="14" borderId="185" xfId="0" applyFill="1" applyBorder="1" applyAlignment="1">
      <alignment horizontal="center"/>
    </xf>
    <xf numFmtId="0" fontId="0" fillId="14" borderId="187" xfId="0" applyFill="1" applyBorder="1" applyAlignment="1">
      <alignment horizontal="center"/>
    </xf>
    <xf numFmtId="0" fontId="0" fillId="14" borderId="186" xfId="0" applyFill="1" applyBorder="1" applyAlignment="1">
      <alignment horizontal="center"/>
    </xf>
    <xf numFmtId="0" fontId="16" fillId="17" borderId="186" xfId="0" applyFont="1" applyFill="1" applyBorder="1" applyAlignment="1">
      <alignment horizontal="center" wrapText="1"/>
    </xf>
    <xf numFmtId="0" fontId="16" fillId="17" borderId="193" xfId="0" applyFont="1" applyFill="1" applyBorder="1" applyAlignment="1">
      <alignment horizontal="center" wrapText="1"/>
    </xf>
    <xf numFmtId="3" fontId="0" fillId="0" borderId="48" xfId="0" applyNumberFormat="1" applyBorder="1" applyAlignment="1">
      <alignment horizontal="center"/>
    </xf>
    <xf numFmtId="3" fontId="0" fillId="0" borderId="31" xfId="0" applyNumberFormat="1" applyBorder="1" applyAlignment="1">
      <alignment horizontal="center"/>
    </xf>
    <xf numFmtId="3" fontId="5" fillId="2" borderId="191" xfId="0" applyNumberFormat="1" applyFont="1" applyFill="1" applyBorder="1" applyAlignment="1">
      <alignment horizontal="center"/>
    </xf>
    <xf numFmtId="0" fontId="0" fillId="9" borderId="185" xfId="0" applyFill="1" applyBorder="1" applyAlignment="1">
      <alignment horizontal="center" vertical="center"/>
    </xf>
    <xf numFmtId="0" fontId="0" fillId="9" borderId="186" xfId="0" applyFill="1" applyBorder="1" applyAlignment="1">
      <alignment horizontal="center" vertical="center"/>
    </xf>
    <xf numFmtId="0" fontId="0" fillId="9" borderId="190" xfId="0" applyFill="1" applyBorder="1" applyAlignment="1">
      <alignment horizontal="center"/>
    </xf>
    <xf numFmtId="0" fontId="0" fillId="9" borderId="194" xfId="0" applyFill="1" applyBorder="1" applyAlignment="1">
      <alignment horizontal="center"/>
    </xf>
    <xf numFmtId="0" fontId="16" fillId="10" borderId="185" xfId="0" applyFont="1" applyFill="1" applyBorder="1" applyAlignment="1">
      <alignment horizontal="center"/>
    </xf>
    <xf numFmtId="0" fontId="16" fillId="10" borderId="186" xfId="0" applyFont="1" applyFill="1" applyBorder="1" applyAlignment="1">
      <alignment horizontal="center"/>
    </xf>
    <xf numFmtId="3" fontId="16" fillId="10" borderId="190" xfId="0" applyNumberFormat="1" applyFont="1" applyFill="1" applyBorder="1" applyAlignment="1">
      <alignment horizontal="center"/>
    </xf>
    <xf numFmtId="0" fontId="16" fillId="10" borderId="194" xfId="0" applyFont="1" applyFill="1" applyBorder="1" applyAlignment="1">
      <alignment horizontal="center"/>
    </xf>
    <xf numFmtId="3" fontId="5" fillId="10" borderId="195" xfId="0" applyNumberFormat="1" applyFont="1" applyFill="1" applyBorder="1" applyAlignment="1">
      <alignment horizontal="center" vertical="center"/>
    </xf>
    <xf numFmtId="3" fontId="5" fillId="10" borderId="196" xfId="0" applyNumberFormat="1" applyFont="1" applyFill="1" applyBorder="1" applyAlignment="1">
      <alignment horizontal="center" vertical="center"/>
    </xf>
    <xf numFmtId="0" fontId="0" fillId="0" borderId="18" xfId="0" applyBorder="1" applyAlignment="1">
      <alignment horizontal="center" vertical="center"/>
    </xf>
    <xf numFmtId="0" fontId="91" fillId="16" borderId="2" xfId="0" applyFont="1" applyFill="1" applyBorder="1" applyAlignment="1">
      <alignment horizontal="left" vertical="top" wrapText="1"/>
    </xf>
    <xf numFmtId="0" fontId="91" fillId="16" borderId="3" xfId="0" applyFont="1" applyFill="1" applyBorder="1" applyAlignment="1">
      <alignment horizontal="left" vertical="top" wrapText="1"/>
    </xf>
    <xf numFmtId="0" fontId="91" fillId="16" borderId="4" xfId="0" applyFont="1" applyFill="1" applyBorder="1" applyAlignment="1">
      <alignment horizontal="left" vertical="top" wrapText="1"/>
    </xf>
    <xf numFmtId="3" fontId="16" fillId="7" borderId="2" xfId="0" applyNumberFormat="1" applyFont="1" applyFill="1" applyBorder="1" applyAlignment="1">
      <alignment horizontal="center"/>
    </xf>
    <xf numFmtId="0" fontId="16" fillId="7" borderId="4" xfId="0" applyFont="1" applyFill="1" applyBorder="1" applyAlignment="1">
      <alignment horizontal="center"/>
    </xf>
    <xf numFmtId="0" fontId="52" fillId="2" borderId="6" xfId="0" applyFont="1" applyFill="1" applyBorder="1" applyAlignment="1">
      <alignment horizontal="center" vertical="center"/>
    </xf>
    <xf numFmtId="0" fontId="52" fillId="2" borderId="30" xfId="0" applyFont="1" applyFill="1" applyBorder="1" applyAlignment="1">
      <alignment horizontal="center" vertical="center"/>
    </xf>
    <xf numFmtId="0" fontId="52" fillId="2" borderId="38" xfId="0" applyFont="1" applyFill="1" applyBorder="1" applyAlignment="1">
      <alignment horizontal="center" vertical="center"/>
    </xf>
    <xf numFmtId="0" fontId="52" fillId="2" borderId="7" xfId="0" applyFont="1" applyFill="1" applyBorder="1" applyAlignment="1">
      <alignment horizontal="center" vertical="center"/>
    </xf>
    <xf numFmtId="0" fontId="52" fillId="2" borderId="5" xfId="0" applyFont="1" applyFill="1" applyBorder="1" applyAlignment="1">
      <alignment horizontal="center" vertical="center"/>
    </xf>
    <xf numFmtId="0" fontId="52" fillId="2" borderId="8" xfId="0" applyFont="1" applyFill="1" applyBorder="1" applyAlignment="1">
      <alignment horizontal="center" vertical="center"/>
    </xf>
    <xf numFmtId="0" fontId="5" fillId="7" borderId="2" xfId="0" applyFont="1" applyFill="1" applyBorder="1" applyAlignment="1">
      <alignment horizontal="center"/>
    </xf>
    <xf numFmtId="0" fontId="5" fillId="7" borderId="3" xfId="0" applyFont="1" applyFill="1" applyBorder="1" applyAlignment="1">
      <alignment horizontal="center"/>
    </xf>
    <xf numFmtId="0" fontId="5" fillId="7" borderId="4" xfId="0" applyFont="1" applyFill="1" applyBorder="1" applyAlignment="1">
      <alignment horizontal="center"/>
    </xf>
    <xf numFmtId="0" fontId="100" fillId="0" borderId="0" xfId="0" applyFont="1" applyAlignment="1">
      <alignment horizontal="center" vertical="center"/>
    </xf>
    <xf numFmtId="0" fontId="0" fillId="2" borderId="6" xfId="0" applyFill="1" applyBorder="1" applyAlignment="1">
      <alignment horizontal="left" vertical="top" wrapText="1"/>
    </xf>
    <xf numFmtId="0" fontId="0" fillId="2" borderId="30" xfId="0" applyFill="1" applyBorder="1" applyAlignment="1">
      <alignment horizontal="left" vertical="top" wrapText="1"/>
    </xf>
    <xf numFmtId="0" fontId="0" fillId="2" borderId="38" xfId="0" applyFill="1" applyBorder="1" applyAlignment="1">
      <alignment horizontal="left" vertical="top" wrapText="1"/>
    </xf>
    <xf numFmtId="0" fontId="0" fillId="2" borderId="7" xfId="0" applyFill="1" applyBorder="1" applyAlignment="1">
      <alignment horizontal="left" vertical="top" wrapText="1"/>
    </xf>
    <xf numFmtId="0" fontId="0" fillId="2" borderId="5" xfId="0" applyFill="1" applyBorder="1" applyAlignment="1">
      <alignment horizontal="left" vertical="top" wrapText="1"/>
    </xf>
    <xf numFmtId="0" fontId="0" fillId="2" borderId="8" xfId="0" applyFill="1" applyBorder="1" applyAlignment="1">
      <alignment horizontal="left" vertical="top" wrapText="1"/>
    </xf>
    <xf numFmtId="1" fontId="40" fillId="17" borderId="84" xfId="0" applyNumberFormat="1" applyFont="1" applyFill="1" applyBorder="1" applyAlignment="1">
      <alignment horizontal="center" vertical="center"/>
    </xf>
    <xf numFmtId="1" fontId="40" fillId="17" borderId="58" xfId="0" applyNumberFormat="1" applyFont="1" applyFill="1" applyBorder="1" applyAlignment="1">
      <alignment horizontal="center" vertical="center"/>
    </xf>
    <xf numFmtId="1" fontId="40" fillId="16" borderId="84" xfId="0" applyNumberFormat="1" applyFont="1" applyFill="1" applyBorder="1" applyAlignment="1">
      <alignment horizontal="center" vertical="center"/>
    </xf>
    <xf numFmtId="1" fontId="40" fillId="16" borderId="58" xfId="0" applyNumberFormat="1" applyFont="1" applyFill="1" applyBorder="1" applyAlignment="1">
      <alignment horizontal="center" vertical="center"/>
    </xf>
    <xf numFmtId="1" fontId="40" fillId="6" borderId="57" xfId="0" applyNumberFormat="1" applyFont="1" applyFill="1" applyBorder="1" applyAlignment="1">
      <alignment horizontal="center" vertical="center"/>
    </xf>
    <xf numFmtId="1" fontId="40" fillId="6" borderId="85" xfId="0" applyNumberFormat="1"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37" xfId="0" applyFont="1" applyFill="1" applyBorder="1" applyAlignment="1">
      <alignment horizontal="center" vertical="center" wrapText="1"/>
    </xf>
    <xf numFmtId="3" fontId="87" fillId="2" borderId="149" xfId="0" applyNumberFormat="1" applyFont="1" applyFill="1" applyBorder="1" applyAlignment="1">
      <alignment horizontal="center" vertical="center"/>
    </xf>
    <xf numFmtId="3" fontId="87" fillId="2" borderId="52" xfId="0" applyNumberFormat="1" applyFont="1" applyFill="1" applyBorder="1" applyAlignment="1">
      <alignment horizontal="center" vertical="center"/>
    </xf>
    <xf numFmtId="0" fontId="72" fillId="0" borderId="19" xfId="0" applyFont="1" applyBorder="1" applyAlignment="1">
      <alignment horizontal="center" wrapText="1"/>
    </xf>
    <xf numFmtId="0" fontId="10" fillId="15" borderId="9" xfId="0" applyFont="1" applyFill="1" applyBorder="1" applyAlignment="1">
      <alignment horizontal="center" vertical="center" wrapText="1"/>
    </xf>
    <xf numFmtId="0" fontId="10" fillId="15" borderId="150" xfId="0" applyFont="1" applyFill="1" applyBorder="1" applyAlignment="1">
      <alignment horizontal="center" vertical="center" wrapText="1"/>
    </xf>
    <xf numFmtId="0" fontId="10" fillId="15" borderId="73" xfId="0" applyFont="1" applyFill="1" applyBorder="1" applyAlignment="1">
      <alignment horizontal="center" vertical="center" wrapText="1"/>
    </xf>
    <xf numFmtId="0" fontId="5" fillId="17" borderId="2" xfId="0" applyFont="1" applyFill="1" applyBorder="1" applyAlignment="1">
      <alignment horizontal="center"/>
    </xf>
    <xf numFmtId="0" fontId="5" fillId="17" borderId="4" xfId="0" applyFont="1" applyFill="1" applyBorder="1" applyAlignment="1">
      <alignment horizontal="center"/>
    </xf>
    <xf numFmtId="0" fontId="5" fillId="17" borderId="3" xfId="0" applyFont="1" applyFill="1" applyBorder="1" applyAlignment="1">
      <alignment horizontal="center"/>
    </xf>
    <xf numFmtId="3" fontId="87" fillId="6" borderId="149" xfId="0" applyNumberFormat="1" applyFont="1" applyFill="1" applyBorder="1" applyAlignment="1">
      <alignment horizontal="center" vertical="center"/>
    </xf>
    <xf numFmtId="3" fontId="87" fillId="6" borderId="52" xfId="0" applyNumberFormat="1" applyFont="1" applyFill="1" applyBorder="1" applyAlignment="1">
      <alignment horizontal="center" vertical="center"/>
    </xf>
    <xf numFmtId="3" fontId="87" fillId="6" borderId="130" xfId="0" applyNumberFormat="1" applyFont="1" applyFill="1" applyBorder="1" applyAlignment="1">
      <alignment horizontal="center" vertical="center"/>
    </xf>
    <xf numFmtId="3" fontId="87" fillId="16" borderId="149" xfId="0" applyNumberFormat="1" applyFont="1" applyFill="1" applyBorder="1" applyAlignment="1">
      <alignment horizontal="center" vertical="center"/>
    </xf>
    <xf numFmtId="3" fontId="87" fillId="16" borderId="52" xfId="0" applyNumberFormat="1" applyFont="1" applyFill="1" applyBorder="1" applyAlignment="1">
      <alignment horizontal="center" vertical="center"/>
    </xf>
    <xf numFmtId="3" fontId="87" fillId="16" borderId="130" xfId="0" applyNumberFormat="1" applyFont="1" applyFill="1" applyBorder="1" applyAlignment="1">
      <alignment horizontal="center" vertical="center"/>
    </xf>
    <xf numFmtId="0" fontId="11" fillId="15" borderId="85" xfId="0" applyFont="1" applyFill="1" applyBorder="1" applyAlignment="1">
      <alignment horizontal="center" vertical="center" wrapText="1"/>
    </xf>
    <xf numFmtId="0" fontId="11" fillId="15" borderId="51" xfId="0" applyFont="1" applyFill="1" applyBorder="1" applyAlignment="1">
      <alignment horizontal="center" vertical="center" wrapText="1"/>
    </xf>
    <xf numFmtId="0" fontId="10" fillId="15" borderId="6" xfId="0" applyFont="1" applyFill="1" applyBorder="1" applyAlignment="1">
      <alignment horizontal="center" vertical="center" wrapText="1"/>
    </xf>
    <xf numFmtId="0" fontId="10" fillId="15" borderId="30" xfId="0" applyFont="1" applyFill="1" applyBorder="1" applyAlignment="1">
      <alignment horizontal="center" vertical="center" wrapText="1"/>
    </xf>
    <xf numFmtId="0" fontId="10" fillId="15" borderId="38" xfId="0" applyFont="1" applyFill="1" applyBorder="1" applyAlignment="1">
      <alignment horizontal="center" vertical="center" wrapText="1"/>
    </xf>
    <xf numFmtId="0" fontId="10" fillId="15" borderId="123" xfId="0" applyFont="1" applyFill="1" applyBorder="1" applyAlignment="1">
      <alignment horizontal="center" vertical="center" wrapText="1"/>
    </xf>
    <xf numFmtId="0" fontId="10" fillId="15" borderId="54" xfId="0" applyFont="1" applyFill="1" applyBorder="1" applyAlignment="1">
      <alignment horizontal="center" vertical="center" wrapText="1"/>
    </xf>
    <xf numFmtId="0" fontId="10" fillId="15" borderId="124" xfId="0" applyFont="1" applyFill="1" applyBorder="1" applyAlignment="1">
      <alignment horizontal="center" vertical="center" wrapText="1"/>
    </xf>
    <xf numFmtId="1" fontId="40" fillId="16" borderId="2" xfId="0" applyNumberFormat="1" applyFont="1" applyFill="1" applyBorder="1" applyAlignment="1">
      <alignment horizontal="center" vertical="center"/>
    </xf>
    <xf numFmtId="1" fontId="40" fillId="16" borderId="4" xfId="0" applyNumberFormat="1" applyFont="1" applyFill="1" applyBorder="1" applyAlignment="1">
      <alignment horizontal="center" vertical="center"/>
    </xf>
    <xf numFmtId="1" fontId="40" fillId="6" borderId="53" xfId="0" applyNumberFormat="1" applyFont="1" applyFill="1" applyBorder="1" applyAlignment="1">
      <alignment horizontal="center" vertical="center"/>
    </xf>
    <xf numFmtId="1" fontId="40" fillId="6" borderId="51" xfId="0" applyNumberFormat="1" applyFont="1" applyFill="1" applyBorder="1" applyAlignment="1">
      <alignment horizontal="center" vertical="center"/>
    </xf>
    <xf numFmtId="0" fontId="11" fillId="15" borderId="147" xfId="0" applyFont="1" applyFill="1" applyBorder="1" applyAlignment="1">
      <alignment horizontal="center" vertical="center" wrapText="1"/>
    </xf>
    <xf numFmtId="0" fontId="25" fillId="15" borderId="57" xfId="0" applyFont="1" applyFill="1" applyBorder="1" applyAlignment="1">
      <alignment horizontal="center" vertical="center" wrapText="1"/>
    </xf>
    <xf numFmtId="0" fontId="25" fillId="15" borderId="85" xfId="0" applyFont="1" applyFill="1" applyBorder="1" applyAlignment="1">
      <alignment horizontal="center" vertical="center" wrapText="1"/>
    </xf>
    <xf numFmtId="0" fontId="25" fillId="15" borderId="53" xfId="0" applyFont="1" applyFill="1" applyBorder="1" applyAlignment="1">
      <alignment horizontal="center" vertical="center" wrapText="1"/>
    </xf>
    <xf numFmtId="0" fontId="25" fillId="15" borderId="51" xfId="0" applyFont="1" applyFill="1" applyBorder="1" applyAlignment="1">
      <alignment horizontal="center" vertical="center" wrapText="1"/>
    </xf>
    <xf numFmtId="0" fontId="11" fillId="15" borderId="87" xfId="0" applyFont="1" applyFill="1" applyBorder="1" applyAlignment="1">
      <alignment horizontal="center" vertical="center" wrapText="1"/>
    </xf>
    <xf numFmtId="0" fontId="11" fillId="15" borderId="90" xfId="0" applyFont="1" applyFill="1" applyBorder="1" applyAlignment="1">
      <alignment horizontal="center" vertical="center" wrapText="1"/>
    </xf>
    <xf numFmtId="3" fontId="102" fillId="0" borderId="0" xfId="0" applyNumberFormat="1" applyFont="1" applyAlignment="1">
      <alignment horizontal="center"/>
    </xf>
    <xf numFmtId="0" fontId="102" fillId="0" borderId="0" xfId="0" applyFont="1" applyAlignment="1">
      <alignment horizontal="center"/>
    </xf>
    <xf numFmtId="0" fontId="30" fillId="15" borderId="2" xfId="0" applyFont="1" applyFill="1" applyBorder="1" applyAlignment="1">
      <alignment horizontal="center" vertical="center" wrapText="1"/>
    </xf>
    <xf numFmtId="0" fontId="30" fillId="15" borderId="3" xfId="0" applyFont="1" applyFill="1" applyBorder="1" applyAlignment="1">
      <alignment horizontal="center" vertical="center" wrapText="1"/>
    </xf>
    <xf numFmtId="0" fontId="30" fillId="15" borderId="4" xfId="0" applyFont="1" applyFill="1" applyBorder="1" applyAlignment="1">
      <alignment horizontal="center" vertical="center" wrapText="1"/>
    </xf>
    <xf numFmtId="3" fontId="15" fillId="2" borderId="2" xfId="0" applyNumberFormat="1" applyFont="1" applyFill="1" applyBorder="1" applyAlignment="1">
      <alignment horizontal="center" vertical="center" wrapText="1"/>
    </xf>
    <xf numFmtId="3" fontId="15" fillId="2" borderId="3" xfId="0" applyNumberFormat="1" applyFont="1" applyFill="1" applyBorder="1" applyAlignment="1">
      <alignment horizontal="center" vertical="center" wrapText="1"/>
    </xf>
    <xf numFmtId="3" fontId="15" fillId="2" borderId="4" xfId="0" applyNumberFormat="1" applyFont="1" applyFill="1" applyBorder="1" applyAlignment="1">
      <alignment horizontal="center" vertical="center" wrapText="1"/>
    </xf>
    <xf numFmtId="0" fontId="16" fillId="16" borderId="19" xfId="0" applyFont="1" applyFill="1" applyBorder="1" applyAlignment="1">
      <alignment horizontal="center" vertical="center" wrapText="1"/>
    </xf>
    <xf numFmtId="0" fontId="16" fillId="16" borderId="0" xfId="0" applyFont="1" applyFill="1" applyAlignment="1">
      <alignment horizontal="center" vertical="center" wrapText="1"/>
    </xf>
    <xf numFmtId="3" fontId="101" fillId="10" borderId="18" xfId="0" applyNumberFormat="1" applyFont="1" applyFill="1" applyBorder="1" applyAlignment="1">
      <alignment horizontal="center"/>
    </xf>
    <xf numFmtId="0" fontId="101" fillId="10" borderId="18" xfId="0" applyFont="1" applyFill="1" applyBorder="1" applyAlignment="1">
      <alignment horizontal="center"/>
    </xf>
    <xf numFmtId="3" fontId="101" fillId="19" borderId="18" xfId="0" applyNumberFormat="1" applyFont="1" applyFill="1" applyBorder="1" applyAlignment="1">
      <alignment horizontal="center" vertical="center"/>
    </xf>
    <xf numFmtId="0" fontId="101" fillId="19" borderId="18" xfId="0" applyFont="1" applyFill="1" applyBorder="1" applyAlignment="1">
      <alignment horizontal="center" vertical="center"/>
    </xf>
    <xf numFmtId="0" fontId="5" fillId="2" borderId="6"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8"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1" fillId="21" borderId="6" xfId="0" applyFont="1" applyFill="1" applyBorder="1" applyAlignment="1">
      <alignment horizontal="center" vertical="center"/>
    </xf>
    <xf numFmtId="0" fontId="11" fillId="21" borderId="30" xfId="0" applyFont="1" applyFill="1" applyBorder="1" applyAlignment="1">
      <alignment horizontal="center" vertical="center"/>
    </xf>
    <xf numFmtId="0" fontId="11" fillId="21" borderId="7" xfId="0" applyFont="1" applyFill="1" applyBorder="1" applyAlignment="1">
      <alignment horizontal="center" vertical="center"/>
    </xf>
    <xf numFmtId="0" fontId="11" fillId="21" borderId="5" xfId="0" applyFont="1" applyFill="1" applyBorder="1" applyAlignment="1">
      <alignment horizontal="center" vertical="center"/>
    </xf>
    <xf numFmtId="0" fontId="18" fillId="15" borderId="6" xfId="0" applyFont="1" applyFill="1" applyBorder="1" applyAlignment="1">
      <alignment horizontal="center" vertical="center"/>
    </xf>
    <xf numFmtId="0" fontId="18" fillId="15" borderId="30" xfId="0" applyFont="1" applyFill="1" applyBorder="1" applyAlignment="1">
      <alignment horizontal="center" vertical="center"/>
    </xf>
    <xf numFmtId="0" fontId="18" fillId="15" borderId="7" xfId="0" applyFont="1" applyFill="1" applyBorder="1" applyAlignment="1">
      <alignment horizontal="center" vertical="center"/>
    </xf>
    <xf numFmtId="0" fontId="18" fillId="15" borderId="5" xfId="0" applyFont="1" applyFill="1" applyBorder="1" applyAlignment="1">
      <alignment horizontal="center" vertical="center"/>
    </xf>
    <xf numFmtId="0" fontId="0" fillId="0" borderId="0" xfId="0" applyAlignment="1">
      <alignment horizontal="left" vertical="top" wrapText="1"/>
    </xf>
    <xf numFmtId="0" fontId="3" fillId="2" borderId="6"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5" xfId="0" applyFont="1" applyFill="1" applyBorder="1" applyAlignment="1">
      <alignment horizontal="center" vertical="center" wrapText="1"/>
    </xf>
    <xf numFmtId="3" fontId="18" fillId="21" borderId="6" xfId="0" applyNumberFormat="1" applyFont="1" applyFill="1" applyBorder="1" applyAlignment="1">
      <alignment horizontal="center" vertical="center"/>
    </xf>
    <xf numFmtId="3" fontId="18" fillId="21" borderId="38" xfId="0" applyNumberFormat="1" applyFont="1" applyFill="1" applyBorder="1" applyAlignment="1">
      <alignment horizontal="center" vertical="center"/>
    </xf>
    <xf numFmtId="3" fontId="18" fillId="21" borderId="7" xfId="0" applyNumberFormat="1" applyFont="1" applyFill="1" applyBorder="1" applyAlignment="1">
      <alignment horizontal="center" vertical="center"/>
    </xf>
    <xf numFmtId="3" fontId="18" fillId="21" borderId="8" xfId="0" applyNumberFormat="1" applyFont="1" applyFill="1" applyBorder="1" applyAlignment="1">
      <alignment horizontal="center" vertical="center"/>
    </xf>
    <xf numFmtId="3" fontId="18" fillId="15" borderId="6" xfId="0" applyNumberFormat="1" applyFont="1" applyFill="1" applyBorder="1" applyAlignment="1">
      <alignment horizontal="center" vertical="center"/>
    </xf>
    <xf numFmtId="3" fontId="18" fillId="15" borderId="38" xfId="0" applyNumberFormat="1" applyFont="1" applyFill="1" applyBorder="1" applyAlignment="1">
      <alignment horizontal="center" vertical="center"/>
    </xf>
    <xf numFmtId="3" fontId="18" fillId="15" borderId="7" xfId="0" applyNumberFormat="1" applyFont="1" applyFill="1" applyBorder="1" applyAlignment="1">
      <alignment horizontal="center" vertical="center"/>
    </xf>
    <xf numFmtId="3" fontId="18" fillId="15" borderId="8" xfId="0" applyNumberFormat="1" applyFont="1" applyFill="1" applyBorder="1" applyAlignment="1">
      <alignment horizontal="center" vertical="center"/>
    </xf>
    <xf numFmtId="3" fontId="3" fillId="2" borderId="6" xfId="0" applyNumberFormat="1" applyFont="1" applyFill="1" applyBorder="1" applyAlignment="1">
      <alignment horizontal="center" vertical="center"/>
    </xf>
    <xf numFmtId="3" fontId="3" fillId="2" borderId="38" xfId="0" applyNumberFormat="1" applyFont="1" applyFill="1" applyBorder="1" applyAlignment="1">
      <alignment horizontal="center" vertical="center"/>
    </xf>
    <xf numFmtId="3" fontId="3" fillId="2" borderId="7" xfId="0" applyNumberFormat="1" applyFont="1" applyFill="1" applyBorder="1" applyAlignment="1">
      <alignment horizontal="center" vertical="center"/>
    </xf>
    <xf numFmtId="3" fontId="3" fillId="2" borderId="8" xfId="0" applyNumberFormat="1" applyFont="1" applyFill="1" applyBorder="1" applyAlignment="1">
      <alignment horizontal="center" vertical="center"/>
    </xf>
    <xf numFmtId="0" fontId="53" fillId="16" borderId="18" xfId="0" applyFont="1" applyFill="1" applyBorder="1" applyAlignment="1">
      <alignment horizontal="center" vertical="center" wrapText="1"/>
    </xf>
    <xf numFmtId="0" fontId="9" fillId="17" borderId="60" xfId="0" applyFont="1" applyFill="1" applyBorder="1" applyAlignment="1">
      <alignment horizontal="center" vertical="center" wrapText="1"/>
    </xf>
    <xf numFmtId="0" fontId="3" fillId="19" borderId="47" xfId="0" applyFont="1" applyFill="1" applyBorder="1" applyAlignment="1">
      <alignment horizontal="center" vertical="center" wrapText="1"/>
    </xf>
    <xf numFmtId="0" fontId="37" fillId="2" borderId="0" xfId="0" applyFont="1" applyFill="1" applyAlignment="1">
      <alignment horizontal="center" vertical="center" wrapText="1"/>
    </xf>
    <xf numFmtId="0" fontId="37" fillId="2" borderId="14" xfId="0" applyFont="1" applyFill="1" applyBorder="1" applyAlignment="1">
      <alignment horizontal="center" vertical="center" wrapText="1"/>
    </xf>
    <xf numFmtId="0" fontId="5" fillId="19" borderId="0" xfId="0" applyFont="1" applyFill="1" applyAlignment="1">
      <alignment horizontal="left" vertical="center" wrapText="1"/>
    </xf>
    <xf numFmtId="0" fontId="5" fillId="2" borderId="6" xfId="0" applyFont="1" applyFill="1" applyBorder="1" applyAlignment="1">
      <alignment horizontal="left" vertical="top" wrapText="1"/>
    </xf>
    <xf numFmtId="0" fontId="5" fillId="2" borderId="30" xfId="0" applyFont="1" applyFill="1" applyBorder="1" applyAlignment="1">
      <alignment horizontal="left" vertical="top" wrapText="1"/>
    </xf>
    <xf numFmtId="0" fontId="5" fillId="2" borderId="38" xfId="0" applyFont="1" applyFill="1" applyBorder="1" applyAlignment="1">
      <alignment horizontal="left" vertical="top" wrapText="1"/>
    </xf>
    <xf numFmtId="0" fontId="5" fillId="2" borderId="19" xfId="0" applyFont="1" applyFill="1" applyBorder="1" applyAlignment="1">
      <alignment horizontal="left" vertical="top" wrapText="1"/>
    </xf>
    <xf numFmtId="0" fontId="5" fillId="2" borderId="0" xfId="0" applyFont="1" applyFill="1" applyAlignment="1">
      <alignment horizontal="left" vertical="top" wrapText="1"/>
    </xf>
    <xf numFmtId="0" fontId="5" fillId="2" borderId="14" xfId="0" applyFont="1" applyFill="1" applyBorder="1" applyAlignment="1">
      <alignment horizontal="left" vertical="top" wrapText="1"/>
    </xf>
    <xf numFmtId="0" fontId="5" fillId="17" borderId="18" xfId="0" applyFont="1" applyFill="1" applyBorder="1" applyAlignment="1">
      <alignment horizontal="left" vertical="top" wrapText="1"/>
    </xf>
    <xf numFmtId="0" fontId="10" fillId="3" borderId="31" xfId="0" applyFont="1" applyFill="1" applyBorder="1" applyAlignment="1">
      <alignment horizontal="left" vertical="top" wrapText="1"/>
    </xf>
    <xf numFmtId="0" fontId="10" fillId="3" borderId="32" xfId="0" applyFont="1" applyFill="1" applyBorder="1" applyAlignment="1">
      <alignment horizontal="left" vertical="top" wrapText="1"/>
    </xf>
    <xf numFmtId="0" fontId="10" fillId="3" borderId="33" xfId="0" applyFont="1" applyFill="1" applyBorder="1" applyAlignment="1">
      <alignment horizontal="left" vertical="top" wrapText="1"/>
    </xf>
    <xf numFmtId="0" fontId="10" fillId="3" borderId="34" xfId="0" applyFont="1" applyFill="1" applyBorder="1" applyAlignment="1">
      <alignment horizontal="left" vertical="top" wrapText="1"/>
    </xf>
    <xf numFmtId="0" fontId="10" fillId="3" borderId="0" xfId="0" applyFont="1" applyFill="1" applyAlignment="1">
      <alignment horizontal="left" vertical="top" wrapText="1"/>
    </xf>
    <xf numFmtId="0" fontId="10" fillId="3" borderId="35" xfId="0" applyFont="1" applyFill="1" applyBorder="1" applyAlignment="1">
      <alignment horizontal="left" vertical="top" wrapText="1"/>
    </xf>
    <xf numFmtId="0" fontId="51" fillId="21" borderId="31" xfId="0" applyFont="1" applyFill="1" applyBorder="1" applyAlignment="1">
      <alignment horizontal="center" vertical="center" wrapText="1"/>
    </xf>
    <xf numFmtId="0" fontId="51" fillId="21" borderId="32" xfId="0" applyFont="1" applyFill="1" applyBorder="1" applyAlignment="1">
      <alignment horizontal="center" vertical="center" wrapText="1"/>
    </xf>
    <xf numFmtId="0" fontId="51" fillId="21" borderId="36" xfId="0" applyFont="1" applyFill="1" applyBorder="1" applyAlignment="1">
      <alignment horizontal="center" vertical="center" wrapText="1"/>
    </xf>
    <xf numFmtId="0" fontId="51" fillId="21" borderId="60" xfId="0" applyFont="1" applyFill="1" applyBorder="1" applyAlignment="1">
      <alignment horizontal="center" vertical="center" wrapText="1"/>
    </xf>
    <xf numFmtId="0" fontId="10" fillId="15" borderId="48" xfId="0" applyFont="1" applyFill="1" applyBorder="1" applyAlignment="1">
      <alignment horizontal="center" vertical="center" wrapText="1"/>
    </xf>
    <xf numFmtId="0" fontId="10" fillId="15" borderId="49" xfId="0" applyFont="1" applyFill="1" applyBorder="1" applyAlignment="1">
      <alignment horizontal="center" vertical="center" wrapText="1"/>
    </xf>
    <xf numFmtId="3" fontId="32" fillId="17" borderId="32" xfId="0" applyNumberFormat="1" applyFont="1" applyFill="1" applyBorder="1" applyAlignment="1">
      <alignment horizontal="center" vertical="center"/>
    </xf>
    <xf numFmtId="3" fontId="32" fillId="17" borderId="0" xfId="0" applyNumberFormat="1" applyFont="1" applyFill="1" applyAlignment="1">
      <alignment horizontal="center" vertical="center"/>
    </xf>
    <xf numFmtId="0" fontId="5" fillId="0" borderId="83" xfId="0" applyFont="1" applyBorder="1" applyAlignment="1">
      <alignment horizontal="center" vertical="center"/>
    </xf>
    <xf numFmtId="0" fontId="5" fillId="0" borderId="55" xfId="0" applyFont="1" applyBorder="1" applyAlignment="1">
      <alignment horizontal="center"/>
    </xf>
    <xf numFmtId="164" fontId="9" fillId="2" borderId="9" xfId="0" applyNumberFormat="1" applyFont="1" applyFill="1" applyBorder="1" applyAlignment="1">
      <alignment horizontal="center" wrapText="1"/>
    </xf>
    <xf numFmtId="164" fontId="9" fillId="2" borderId="73" xfId="0" applyNumberFormat="1" applyFont="1" applyFill="1" applyBorder="1" applyAlignment="1">
      <alignment horizontal="center" wrapText="1"/>
    </xf>
    <xf numFmtId="0" fontId="51" fillId="16" borderId="75" xfId="0" applyFont="1" applyFill="1" applyBorder="1" applyAlignment="1">
      <alignment horizontal="center" vertical="center" wrapText="1"/>
    </xf>
    <xf numFmtId="0" fontId="51" fillId="16" borderId="76" xfId="0" applyFont="1" applyFill="1" applyBorder="1" applyAlignment="1">
      <alignment horizontal="center" vertical="center" wrapText="1"/>
    </xf>
    <xf numFmtId="0" fontId="51" fillId="16" borderId="77" xfId="0" applyFont="1" applyFill="1" applyBorder="1" applyAlignment="1">
      <alignment horizontal="center" vertical="center" wrapText="1"/>
    </xf>
    <xf numFmtId="0" fontId="51" fillId="16" borderId="78" xfId="0" applyFont="1" applyFill="1" applyBorder="1" applyAlignment="1">
      <alignment horizontal="center" vertical="center" wrapText="1"/>
    </xf>
    <xf numFmtId="0" fontId="51" fillId="16" borderId="18" xfId="0" applyFont="1" applyFill="1" applyBorder="1" applyAlignment="1">
      <alignment horizontal="center" vertical="center" wrapText="1"/>
    </xf>
    <xf numFmtId="0" fontId="51" fillId="16" borderId="79" xfId="0" applyFont="1" applyFill="1" applyBorder="1" applyAlignment="1">
      <alignment horizontal="center" vertical="center" wrapText="1"/>
    </xf>
    <xf numFmtId="0" fontId="51" fillId="16" borderId="80" xfId="0" applyFont="1" applyFill="1" applyBorder="1" applyAlignment="1">
      <alignment horizontal="center" vertical="center" wrapText="1"/>
    </xf>
    <xf numFmtId="0" fontId="51" fillId="16" borderId="81" xfId="0" applyFont="1" applyFill="1" applyBorder="1" applyAlignment="1">
      <alignment horizontal="center" vertical="center" wrapText="1"/>
    </xf>
    <xf numFmtId="0" fontId="51" fillId="16" borderId="82" xfId="0" applyFont="1" applyFill="1" applyBorder="1" applyAlignment="1">
      <alignment horizontal="center" vertical="center" wrapText="1"/>
    </xf>
    <xf numFmtId="2" fontId="5" fillId="17" borderId="19" xfId="0" applyNumberFormat="1" applyFont="1" applyFill="1" applyBorder="1" applyAlignment="1">
      <alignment horizontal="left" vertical="center" wrapText="1"/>
    </xf>
    <xf numFmtId="2" fontId="5" fillId="17" borderId="0" xfId="0" applyNumberFormat="1" applyFont="1" applyFill="1" applyAlignment="1">
      <alignment horizontal="left" vertical="center" wrapText="1"/>
    </xf>
    <xf numFmtId="2" fontId="5" fillId="17" borderId="7" xfId="0" applyNumberFormat="1" applyFont="1" applyFill="1" applyBorder="1" applyAlignment="1">
      <alignment horizontal="left" vertical="center" wrapText="1"/>
    </xf>
    <xf numFmtId="2" fontId="5" fillId="17" borderId="5" xfId="0" applyNumberFormat="1" applyFont="1" applyFill="1" applyBorder="1" applyAlignment="1">
      <alignment horizontal="left" vertical="center" wrapText="1"/>
    </xf>
    <xf numFmtId="0" fontId="44" fillId="12" borderId="7" xfId="0" applyFont="1" applyFill="1" applyBorder="1" applyAlignment="1">
      <alignment horizontal="center" vertical="center" wrapText="1"/>
    </xf>
    <xf numFmtId="0" fontId="44" fillId="12" borderId="5" xfId="0" applyFont="1" applyFill="1" applyBorder="1" applyAlignment="1">
      <alignment horizontal="center" vertical="center" wrapText="1"/>
    </xf>
    <xf numFmtId="0" fontId="44" fillId="12" borderId="8" xfId="0" applyFont="1" applyFill="1" applyBorder="1" applyAlignment="1">
      <alignment horizontal="center" vertical="center" wrapText="1"/>
    </xf>
    <xf numFmtId="0" fontId="45" fillId="15" borderId="2" xfId="0" applyFont="1" applyFill="1" applyBorder="1" applyAlignment="1">
      <alignment horizontal="center" vertical="center"/>
    </xf>
    <xf numFmtId="0" fontId="45" fillId="15" borderId="3" xfId="0" applyFont="1" applyFill="1" applyBorder="1" applyAlignment="1">
      <alignment horizontal="center" vertical="center"/>
    </xf>
    <xf numFmtId="164" fontId="43" fillId="15" borderId="47" xfId="0" applyNumberFormat="1" applyFont="1" applyFill="1" applyBorder="1" applyAlignment="1">
      <alignment horizontal="center" vertical="center" wrapText="1"/>
    </xf>
    <xf numFmtId="0" fontId="34" fillId="7" borderId="13" xfId="0" applyFont="1" applyFill="1" applyBorder="1" applyAlignment="1">
      <alignment horizontal="left" vertical="center"/>
    </xf>
    <xf numFmtId="0" fontId="13" fillId="7" borderId="10" xfId="0" applyFont="1" applyFill="1" applyBorder="1" applyAlignment="1">
      <alignment horizontal="left" vertical="center"/>
    </xf>
    <xf numFmtId="0" fontId="13" fillId="7" borderId="74" xfId="0" applyFont="1" applyFill="1" applyBorder="1" applyAlignment="1">
      <alignment horizontal="left" vertical="center"/>
    </xf>
    <xf numFmtId="0" fontId="13" fillId="7" borderId="11" xfId="0" applyFont="1" applyFill="1" applyBorder="1" applyAlignment="1">
      <alignment horizontal="left" vertical="center"/>
    </xf>
    <xf numFmtId="164" fontId="5" fillId="6" borderId="18" xfId="0" applyNumberFormat="1" applyFont="1" applyFill="1" applyBorder="1" applyAlignment="1">
      <alignment horizontal="left" vertical="top" wrapText="1"/>
    </xf>
    <xf numFmtId="164" fontId="5" fillId="6" borderId="48" xfId="0" applyNumberFormat="1" applyFont="1" applyFill="1" applyBorder="1" applyAlignment="1">
      <alignment horizontal="left" vertical="top" wrapText="1"/>
    </xf>
    <xf numFmtId="0" fontId="51" fillId="19" borderId="20" xfId="0" applyFont="1" applyFill="1" applyBorder="1" applyAlignment="1">
      <alignment horizontal="center" vertical="center" wrapText="1"/>
    </xf>
    <xf numFmtId="0" fontId="5" fillId="4" borderId="2" xfId="0" applyFont="1" applyFill="1" applyBorder="1" applyAlignment="1">
      <alignment horizontal="left" vertical="top"/>
    </xf>
    <xf numFmtId="0" fontId="5" fillId="4" borderId="4" xfId="0" applyFont="1" applyFill="1" applyBorder="1" applyAlignment="1">
      <alignment horizontal="left" vertical="top"/>
    </xf>
    <xf numFmtId="0" fontId="34" fillId="7" borderId="13" xfId="0" applyFont="1" applyFill="1" applyBorder="1" applyAlignment="1">
      <alignment horizontal="left" vertical="center" wrapText="1"/>
    </xf>
    <xf numFmtId="0" fontId="13" fillId="7" borderId="10" xfId="0" applyFont="1" applyFill="1" applyBorder="1" applyAlignment="1">
      <alignment horizontal="left" vertical="center" wrapText="1"/>
    </xf>
    <xf numFmtId="0" fontId="13" fillId="7" borderId="11" xfId="0" applyFont="1" applyFill="1" applyBorder="1" applyAlignment="1">
      <alignment horizontal="left" vertical="center" wrapText="1"/>
    </xf>
    <xf numFmtId="0" fontId="5" fillId="5" borderId="2" xfId="0" applyFont="1" applyFill="1" applyBorder="1" applyAlignment="1">
      <alignment horizontal="center"/>
    </xf>
    <xf numFmtId="0" fontId="5" fillId="5" borderId="4" xfId="0" applyFont="1" applyFill="1" applyBorder="1" applyAlignment="1">
      <alignment horizontal="center"/>
    </xf>
    <xf numFmtId="0" fontId="23" fillId="3" borderId="2" xfId="0" applyFont="1" applyFill="1" applyBorder="1" applyAlignment="1">
      <alignment horizontal="left"/>
    </xf>
    <xf numFmtId="0" fontId="23" fillId="3" borderId="4" xfId="0" applyFont="1" applyFill="1" applyBorder="1" applyAlignment="1">
      <alignment horizontal="left"/>
    </xf>
    <xf numFmtId="0" fontId="18" fillId="15" borderId="61" xfId="0" applyFont="1" applyFill="1" applyBorder="1" applyAlignment="1">
      <alignment horizontal="center" vertical="center" wrapText="1"/>
    </xf>
    <xf numFmtId="0" fontId="18" fillId="15" borderId="62" xfId="0" applyFont="1" applyFill="1" applyBorder="1" applyAlignment="1">
      <alignment horizontal="center" vertical="center" wrapText="1"/>
    </xf>
    <xf numFmtId="0" fontId="18" fillId="15" borderId="70" xfId="0" applyFont="1" applyFill="1" applyBorder="1" applyAlignment="1">
      <alignment horizontal="center" vertical="center" wrapText="1"/>
    </xf>
    <xf numFmtId="0" fontId="18" fillId="15" borderId="71" xfId="0" applyFont="1" applyFill="1" applyBorder="1" applyAlignment="1">
      <alignment horizontal="center" vertical="center" wrapText="1"/>
    </xf>
    <xf numFmtId="0" fontId="10" fillId="15" borderId="53" xfId="0" applyFont="1" applyFill="1" applyBorder="1" applyAlignment="1">
      <alignment horizontal="left" vertical="center" wrapText="1"/>
    </xf>
    <xf numFmtId="0" fontId="5" fillId="15" borderId="54" xfId="0" applyFont="1" applyFill="1" applyBorder="1" applyAlignment="1">
      <alignment horizontal="left" vertical="center" wrapText="1"/>
    </xf>
    <xf numFmtId="0" fontId="5" fillId="15" borderId="51" xfId="0" applyFont="1" applyFill="1" applyBorder="1" applyAlignment="1">
      <alignment horizontal="left" vertical="center" wrapText="1"/>
    </xf>
    <xf numFmtId="0" fontId="10" fillId="3" borderId="2" xfId="0" applyFont="1" applyFill="1" applyBorder="1" applyAlignment="1">
      <alignment horizontal="center" wrapText="1"/>
    </xf>
    <xf numFmtId="0" fontId="10" fillId="3" borderId="4" xfId="0" applyFont="1" applyFill="1" applyBorder="1" applyAlignment="1">
      <alignment horizontal="center" wrapText="1"/>
    </xf>
    <xf numFmtId="0" fontId="5" fillId="5" borderId="3" xfId="0" applyFont="1" applyFill="1" applyBorder="1" applyAlignment="1">
      <alignment horizontal="center"/>
    </xf>
    <xf numFmtId="164" fontId="8" fillId="10" borderId="43" xfId="0" applyNumberFormat="1" applyFont="1" applyFill="1" applyBorder="1" applyAlignment="1">
      <alignment horizontal="center" vertical="center"/>
    </xf>
    <xf numFmtId="164" fontId="8" fillId="10" borderId="44" xfId="0" applyNumberFormat="1" applyFont="1" applyFill="1" applyBorder="1" applyAlignment="1">
      <alignment horizontal="center" vertical="center"/>
    </xf>
    <xf numFmtId="164" fontId="8" fillId="10" borderId="45" xfId="0" applyNumberFormat="1" applyFont="1" applyFill="1" applyBorder="1" applyAlignment="1">
      <alignment horizontal="center" vertical="center"/>
    </xf>
    <xf numFmtId="0" fontId="13" fillId="11" borderId="0" xfId="0" applyFont="1" applyFill="1" applyAlignment="1">
      <alignment horizontal="left" vertical="top" wrapText="1"/>
    </xf>
    <xf numFmtId="0" fontId="10" fillId="40" borderId="6" xfId="0" applyFont="1" applyFill="1" applyBorder="1" applyAlignment="1">
      <alignment horizontal="center" vertical="center" wrapText="1"/>
    </xf>
    <xf numFmtId="0" fontId="10" fillId="40" borderId="30" xfId="0" applyFont="1" applyFill="1" applyBorder="1" applyAlignment="1">
      <alignment horizontal="center" vertical="center" wrapText="1"/>
    </xf>
    <xf numFmtId="0" fontId="10" fillId="40" borderId="38" xfId="0" applyFont="1" applyFill="1" applyBorder="1" applyAlignment="1">
      <alignment horizontal="center" vertical="center" wrapText="1"/>
    </xf>
    <xf numFmtId="0" fontId="10" fillId="40" borderId="19" xfId="0" applyFont="1" applyFill="1" applyBorder="1" applyAlignment="1">
      <alignment horizontal="center" vertical="center" wrapText="1"/>
    </xf>
    <xf numFmtId="0" fontId="10" fillId="40" borderId="0" xfId="0" applyFont="1" applyFill="1" applyAlignment="1">
      <alignment horizontal="center" vertical="center" wrapText="1"/>
    </xf>
    <xf numFmtId="0" fontId="10" fillId="40" borderId="14" xfId="0" applyFont="1" applyFill="1" applyBorder="1" applyAlignment="1">
      <alignment horizontal="center" vertical="center" wrapText="1"/>
    </xf>
    <xf numFmtId="0" fontId="10" fillId="40" borderId="7" xfId="0" applyFont="1" applyFill="1" applyBorder="1" applyAlignment="1">
      <alignment horizontal="center" vertical="center" wrapText="1"/>
    </xf>
    <xf numFmtId="0" fontId="10" fillId="40" borderId="5" xfId="0" applyFont="1" applyFill="1" applyBorder="1" applyAlignment="1">
      <alignment horizontal="center" vertical="center" wrapText="1"/>
    </xf>
    <xf numFmtId="0" fontId="10" fillId="40" borderId="8" xfId="0" applyFont="1" applyFill="1" applyBorder="1" applyAlignment="1">
      <alignment horizontal="center" vertical="center" wrapText="1"/>
    </xf>
    <xf numFmtId="0" fontId="16" fillId="7" borderId="6" xfId="0" applyFont="1" applyFill="1" applyBorder="1" applyAlignment="1">
      <alignment horizontal="center" vertical="center" wrapText="1"/>
    </xf>
    <xf numFmtId="0" fontId="16" fillId="7" borderId="30" xfId="0" applyFont="1" applyFill="1" applyBorder="1" applyAlignment="1">
      <alignment horizontal="center" vertical="center" wrapText="1"/>
    </xf>
    <xf numFmtId="0" fontId="16" fillId="7" borderId="19" xfId="0" applyFont="1" applyFill="1" applyBorder="1" applyAlignment="1">
      <alignment horizontal="center" vertical="center" wrapText="1"/>
    </xf>
    <xf numFmtId="0" fontId="16" fillId="7" borderId="0" xfId="0" applyFont="1" applyFill="1" applyAlignment="1">
      <alignment horizontal="center" vertical="center" wrapText="1"/>
    </xf>
    <xf numFmtId="3" fontId="56" fillId="7" borderId="5" xfId="0" applyNumberFormat="1" applyFont="1" applyFill="1" applyBorder="1" applyAlignment="1">
      <alignment horizontal="center" vertical="center" wrapText="1"/>
    </xf>
    <xf numFmtId="0" fontId="51" fillId="17" borderId="6" xfId="0" applyFont="1" applyFill="1" applyBorder="1" applyAlignment="1">
      <alignment horizontal="center" vertical="center"/>
    </xf>
    <xf numFmtId="0" fontId="51" fillId="17" borderId="30" xfId="0" applyFont="1" applyFill="1" applyBorder="1" applyAlignment="1">
      <alignment horizontal="center" vertical="center"/>
    </xf>
    <xf numFmtId="0" fontId="51" fillId="17" borderId="38" xfId="0" applyFont="1" applyFill="1" applyBorder="1" applyAlignment="1">
      <alignment horizontal="center" vertical="center"/>
    </xf>
    <xf numFmtId="3" fontId="40" fillId="16" borderId="19" xfId="0" applyNumberFormat="1" applyFont="1" applyFill="1" applyBorder="1" applyAlignment="1">
      <alignment horizontal="center" vertical="center" wrapText="1"/>
    </xf>
    <xf numFmtId="3" fontId="40" fillId="16" borderId="0" xfId="0" applyNumberFormat="1" applyFont="1" applyFill="1" applyAlignment="1">
      <alignment horizontal="center" vertical="center" wrapText="1"/>
    </xf>
    <xf numFmtId="3" fontId="40" fillId="16" borderId="14" xfId="0" applyNumberFormat="1" applyFont="1" applyFill="1" applyBorder="1" applyAlignment="1">
      <alignment horizontal="center" vertical="center" wrapText="1"/>
    </xf>
    <xf numFmtId="3" fontId="42" fillId="16" borderId="7" xfId="0" applyNumberFormat="1" applyFont="1" applyFill="1" applyBorder="1" applyAlignment="1">
      <alignment horizontal="center" vertical="center" wrapText="1"/>
    </xf>
    <xf numFmtId="3" fontId="42" fillId="16" borderId="5" xfId="0" applyNumberFormat="1" applyFont="1" applyFill="1" applyBorder="1" applyAlignment="1">
      <alignment horizontal="center" vertical="center" wrapText="1"/>
    </xf>
    <xf numFmtId="3" fontId="42" fillId="16" borderId="8" xfId="0" applyNumberFormat="1" applyFont="1" applyFill="1" applyBorder="1" applyAlignment="1">
      <alignment horizontal="center" vertical="center" wrapText="1"/>
    </xf>
    <xf numFmtId="3" fontId="89" fillId="17" borderId="7" xfId="0" applyNumberFormat="1" applyFont="1" applyFill="1" applyBorder="1" applyAlignment="1">
      <alignment horizontal="center" vertical="center"/>
    </xf>
    <xf numFmtId="3" fontId="89" fillId="17" borderId="5" xfId="0" applyNumberFormat="1" applyFont="1" applyFill="1" applyBorder="1" applyAlignment="1">
      <alignment horizontal="center" vertical="center"/>
    </xf>
    <xf numFmtId="3" fontId="89" fillId="17" borderId="8" xfId="0" applyNumberFormat="1" applyFont="1" applyFill="1" applyBorder="1" applyAlignment="1">
      <alignment horizontal="center" vertical="center"/>
    </xf>
    <xf numFmtId="0" fontId="5" fillId="18" borderId="144" xfId="0" applyFont="1" applyFill="1" applyBorder="1" applyAlignment="1">
      <alignment horizontal="center" vertical="center" wrapText="1"/>
    </xf>
    <xf numFmtId="0" fontId="5" fillId="18" borderId="146" xfId="0" applyFont="1" applyFill="1" applyBorder="1" applyAlignment="1">
      <alignment horizontal="center" vertical="center" wrapText="1"/>
    </xf>
    <xf numFmtId="4" fontId="5" fillId="18" borderId="133" xfId="0" applyNumberFormat="1" applyFont="1" applyFill="1" applyBorder="1" applyAlignment="1">
      <alignment horizontal="center" vertical="center"/>
    </xf>
    <xf numFmtId="4" fontId="5" fillId="18" borderId="135" xfId="0" applyNumberFormat="1" applyFont="1" applyFill="1" applyBorder="1" applyAlignment="1">
      <alignment horizontal="center" vertical="center"/>
    </xf>
    <xf numFmtId="0" fontId="5" fillId="18" borderId="6" xfId="0" applyFont="1" applyFill="1" applyBorder="1" applyAlignment="1">
      <alignment horizontal="left" vertical="top" wrapText="1"/>
    </xf>
    <xf numFmtId="0" fontId="5" fillId="18" borderId="30" xfId="0" applyFont="1" applyFill="1" applyBorder="1" applyAlignment="1">
      <alignment horizontal="left" vertical="top" wrapText="1"/>
    </xf>
    <xf numFmtId="0" fontId="5" fillId="18" borderId="38" xfId="0" applyFont="1" applyFill="1" applyBorder="1" applyAlignment="1">
      <alignment horizontal="left" vertical="top" wrapText="1"/>
    </xf>
    <xf numFmtId="0" fontId="5" fillId="18" borderId="19" xfId="0" applyFont="1" applyFill="1" applyBorder="1" applyAlignment="1">
      <alignment horizontal="left" vertical="top" wrapText="1"/>
    </xf>
    <xf numFmtId="0" fontId="5" fillId="18" borderId="0" xfId="0" applyFont="1" applyFill="1" applyAlignment="1">
      <alignment horizontal="left" vertical="top" wrapText="1"/>
    </xf>
    <xf numFmtId="0" fontId="5" fillId="18" borderId="14" xfId="0" applyFont="1" applyFill="1" applyBorder="1" applyAlignment="1">
      <alignment horizontal="left" vertical="top" wrapText="1"/>
    </xf>
    <xf numFmtId="0" fontId="5" fillId="18" borderId="7" xfId="0" applyFont="1" applyFill="1" applyBorder="1" applyAlignment="1">
      <alignment horizontal="left" vertical="top" wrapText="1"/>
    </xf>
    <xf numFmtId="0" fontId="5" fillId="18" borderId="5" xfId="0" applyFont="1" applyFill="1" applyBorder="1" applyAlignment="1">
      <alignment horizontal="left" vertical="top" wrapText="1"/>
    </xf>
    <xf numFmtId="0" fontId="5" fillId="18" borderId="8" xfId="0" applyFont="1" applyFill="1" applyBorder="1" applyAlignment="1">
      <alignment horizontal="left" vertical="top" wrapText="1"/>
    </xf>
    <xf numFmtId="0" fontId="5" fillId="16" borderId="6" xfId="0" applyFont="1" applyFill="1" applyBorder="1" applyAlignment="1">
      <alignment horizontal="left" vertical="center" wrapText="1"/>
    </xf>
    <xf numFmtId="0" fontId="5" fillId="16" borderId="30" xfId="0" applyFont="1" applyFill="1" applyBorder="1" applyAlignment="1">
      <alignment horizontal="left" vertical="center" wrapText="1"/>
    </xf>
    <xf numFmtId="0" fontId="5" fillId="16" borderId="19" xfId="0" applyFont="1" applyFill="1" applyBorder="1" applyAlignment="1">
      <alignment horizontal="left" vertical="center" wrapText="1"/>
    </xf>
    <xf numFmtId="0" fontId="5" fillId="16" borderId="0" xfId="0" applyFont="1" applyFill="1" applyAlignment="1">
      <alignment horizontal="left" vertical="center" wrapText="1"/>
    </xf>
    <xf numFmtId="0" fontId="5" fillId="16" borderId="7" xfId="0" applyFont="1" applyFill="1" applyBorder="1" applyAlignment="1">
      <alignment horizontal="left" vertical="center" wrapText="1"/>
    </xf>
    <xf numFmtId="0" fontId="5" fillId="16" borderId="5" xfId="0" applyFont="1" applyFill="1" applyBorder="1" applyAlignment="1">
      <alignment horizontal="left" vertical="center" wrapText="1"/>
    </xf>
    <xf numFmtId="0" fontId="5" fillId="18" borderId="6" xfId="0" applyFont="1" applyFill="1" applyBorder="1" applyAlignment="1">
      <alignment horizontal="center" vertical="center" wrapText="1"/>
    </xf>
    <xf numFmtId="0" fontId="5" fillId="18" borderId="30" xfId="0" applyFont="1" applyFill="1" applyBorder="1" applyAlignment="1">
      <alignment horizontal="center" vertical="center" wrapText="1"/>
    </xf>
    <xf numFmtId="4" fontId="5" fillId="18" borderId="2" xfId="0" applyNumberFormat="1" applyFont="1" applyFill="1" applyBorder="1" applyAlignment="1">
      <alignment horizontal="center" vertical="center"/>
    </xf>
    <xf numFmtId="4" fontId="5" fillId="18" borderId="3" xfId="0" applyNumberFormat="1" applyFont="1" applyFill="1" applyBorder="1" applyAlignment="1">
      <alignment horizontal="center" vertical="center"/>
    </xf>
    <xf numFmtId="0" fontId="10" fillId="3" borderId="84" xfId="0" applyFont="1" applyFill="1" applyBorder="1" applyAlignment="1">
      <alignment horizontal="center" vertical="center"/>
    </xf>
    <xf numFmtId="0" fontId="10" fillId="3" borderId="130" xfId="0" applyFont="1" applyFill="1" applyBorder="1" applyAlignment="1">
      <alignment horizontal="center" vertical="center"/>
    </xf>
    <xf numFmtId="0" fontId="3" fillId="10" borderId="144" xfId="0" applyFont="1" applyFill="1" applyBorder="1" applyAlignment="1">
      <alignment horizontal="center" vertical="center"/>
    </xf>
    <xf numFmtId="0" fontId="3" fillId="10" borderId="145" xfId="0" applyFont="1" applyFill="1" applyBorder="1" applyAlignment="1">
      <alignment horizontal="center" vertical="center"/>
    </xf>
    <xf numFmtId="0" fontId="3" fillId="10" borderId="146" xfId="0" applyFont="1" applyFill="1" applyBorder="1" applyAlignment="1">
      <alignment horizontal="center" vertical="center"/>
    </xf>
    <xf numFmtId="3" fontId="13" fillId="10" borderId="59" xfId="0" applyNumberFormat="1" applyFont="1" applyFill="1" applyBorder="1" applyAlignment="1">
      <alignment horizontal="center" vertical="center"/>
    </xf>
    <xf numFmtId="3" fontId="13" fillId="10" borderId="161" xfId="0" applyNumberFormat="1" applyFont="1" applyFill="1" applyBorder="1" applyAlignment="1">
      <alignment horizontal="center" vertical="center"/>
    </xf>
    <xf numFmtId="3" fontId="13" fillId="10" borderId="138" xfId="0" applyNumberFormat="1" applyFont="1" applyFill="1" applyBorder="1" applyAlignment="1">
      <alignment horizontal="center" vertical="center"/>
    </xf>
    <xf numFmtId="3" fontId="13" fillId="10" borderId="158" xfId="0" applyNumberFormat="1" applyFont="1" applyFill="1" applyBorder="1" applyAlignment="1">
      <alignment horizontal="center" vertical="center"/>
    </xf>
    <xf numFmtId="0" fontId="79" fillId="19" borderId="7" xfId="0" applyFont="1" applyFill="1" applyBorder="1" applyAlignment="1">
      <alignment horizontal="center" vertical="center"/>
    </xf>
    <xf numFmtId="0" fontId="79" fillId="19" borderId="8" xfId="0" applyFont="1" applyFill="1" applyBorder="1" applyAlignment="1">
      <alignment horizontal="center" vertical="center"/>
    </xf>
    <xf numFmtId="0" fontId="24" fillId="15" borderId="6" xfId="0" applyFont="1" applyFill="1" applyBorder="1" applyAlignment="1">
      <alignment horizontal="center" vertical="center"/>
    </xf>
    <xf numFmtId="0" fontId="24" fillId="15" borderId="38" xfId="0" applyFont="1" applyFill="1" applyBorder="1" applyAlignment="1">
      <alignment horizontal="center" vertical="center"/>
    </xf>
    <xf numFmtId="0" fontId="30" fillId="15" borderId="7" xfId="0" applyFont="1" applyFill="1" applyBorder="1" applyAlignment="1">
      <alignment horizontal="center" vertical="center"/>
    </xf>
    <xf numFmtId="0" fontId="30" fillId="15" borderId="8" xfId="0" applyFont="1" applyFill="1" applyBorder="1" applyAlignment="1">
      <alignment horizontal="center" vertical="center"/>
    </xf>
    <xf numFmtId="0" fontId="10" fillId="19" borderId="6" xfId="0" applyFont="1" applyFill="1" applyBorder="1" applyAlignment="1">
      <alignment horizontal="center" vertical="center"/>
    </xf>
    <xf numFmtId="0" fontId="10" fillId="19" borderId="38" xfId="0" applyFont="1" applyFill="1" applyBorder="1" applyAlignment="1">
      <alignment horizontal="center" vertical="center"/>
    </xf>
    <xf numFmtId="173" fontId="11" fillId="19" borderId="157" xfId="0" applyNumberFormat="1" applyFont="1" applyFill="1" applyBorder="1" applyAlignment="1">
      <alignment horizontal="center" vertical="center"/>
    </xf>
    <xf numFmtId="173" fontId="11" fillId="19" borderId="158" xfId="0" applyNumberFormat="1" applyFont="1" applyFill="1" applyBorder="1" applyAlignment="1">
      <alignment horizontal="center" vertical="center"/>
    </xf>
    <xf numFmtId="0" fontId="95" fillId="19" borderId="6" xfId="0" applyFont="1" applyFill="1" applyBorder="1" applyAlignment="1">
      <alignment horizontal="center" vertical="center"/>
    </xf>
    <xf numFmtId="0" fontId="95" fillId="19" borderId="38" xfId="0" applyFont="1" applyFill="1" applyBorder="1" applyAlignment="1">
      <alignment horizontal="center" vertical="center"/>
    </xf>
    <xf numFmtId="3" fontId="30" fillId="19" borderId="7" xfId="0" applyNumberFormat="1" applyFont="1" applyFill="1" applyBorder="1" applyAlignment="1">
      <alignment horizontal="center" vertical="center"/>
    </xf>
    <xf numFmtId="0" fontId="30" fillId="19" borderId="8" xfId="0" applyFont="1" applyFill="1" applyBorder="1" applyAlignment="1">
      <alignment horizontal="center" vertical="center"/>
    </xf>
    <xf numFmtId="0" fontId="10" fillId="19" borderId="6" xfId="0" applyFont="1" applyFill="1" applyBorder="1" applyAlignment="1">
      <alignment horizontal="center" vertical="center" wrapText="1"/>
    </xf>
    <xf numFmtId="0" fontId="10" fillId="19" borderId="38" xfId="0" applyFont="1" applyFill="1" applyBorder="1" applyAlignment="1">
      <alignment horizontal="center" vertical="center" wrapText="1"/>
    </xf>
    <xf numFmtId="0" fontId="75" fillId="16" borderId="2" xfId="0" applyFont="1" applyFill="1" applyBorder="1" applyAlignment="1">
      <alignment horizontal="center" vertical="center"/>
    </xf>
    <xf numFmtId="0" fontId="75" fillId="16" borderId="4" xfId="0" applyFont="1" applyFill="1" applyBorder="1" applyAlignment="1">
      <alignment horizontal="center" vertical="center"/>
    </xf>
    <xf numFmtId="0" fontId="24" fillId="19" borderId="2" xfId="0" applyFont="1" applyFill="1" applyBorder="1" applyAlignment="1">
      <alignment horizontal="center" vertical="center"/>
    </xf>
    <xf numFmtId="0" fontId="24" fillId="19" borderId="4" xfId="0" applyFont="1" applyFill="1" applyBorder="1" applyAlignment="1">
      <alignment horizontal="center" vertic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wrapText="1"/>
    </xf>
    <xf numFmtId="0" fontId="16" fillId="21" borderId="6" xfId="0" applyFont="1" applyFill="1" applyBorder="1" applyAlignment="1">
      <alignment horizontal="center" vertical="center" wrapText="1"/>
    </xf>
    <xf numFmtId="0" fontId="16" fillId="21" borderId="38" xfId="0" applyFont="1" applyFill="1" applyBorder="1" applyAlignment="1">
      <alignment horizontal="center" vertical="center" wrapText="1"/>
    </xf>
    <xf numFmtId="0" fontId="16" fillId="21" borderId="19" xfId="0" applyFont="1" applyFill="1" applyBorder="1" applyAlignment="1">
      <alignment horizontal="center" vertical="center" wrapText="1"/>
    </xf>
    <xf numFmtId="0" fontId="16" fillId="21" borderId="14" xfId="0" applyFont="1" applyFill="1" applyBorder="1" applyAlignment="1">
      <alignment horizontal="center" vertical="center" wrapText="1"/>
    </xf>
    <xf numFmtId="0" fontId="96" fillId="8" borderId="6" xfId="0" applyFont="1" applyFill="1" applyBorder="1" applyAlignment="1">
      <alignment horizontal="center" vertical="center" wrapText="1"/>
    </xf>
    <xf numFmtId="0" fontId="96" fillId="8" borderId="30" xfId="0" applyFont="1" applyFill="1" applyBorder="1" applyAlignment="1">
      <alignment horizontal="center" vertical="center" wrapText="1"/>
    </xf>
    <xf numFmtId="0" fontId="96" fillId="8" borderId="38" xfId="0" applyFont="1" applyFill="1" applyBorder="1" applyAlignment="1">
      <alignment horizontal="center" vertical="center" wrapText="1"/>
    </xf>
    <xf numFmtId="0" fontId="96" fillId="8" borderId="7" xfId="0" applyFont="1" applyFill="1" applyBorder="1" applyAlignment="1">
      <alignment horizontal="center" vertical="center" wrapText="1"/>
    </xf>
    <xf numFmtId="0" fontId="96" fillId="8" borderId="5" xfId="0" applyFont="1" applyFill="1" applyBorder="1" applyAlignment="1">
      <alignment horizontal="center" vertical="center" wrapText="1"/>
    </xf>
    <xf numFmtId="0" fontId="96" fillId="8" borderId="8" xfId="0" applyFont="1" applyFill="1" applyBorder="1" applyAlignment="1">
      <alignment horizontal="center" vertical="center" wrapText="1"/>
    </xf>
    <xf numFmtId="3" fontId="54" fillId="21" borderId="7" xfId="0" applyNumberFormat="1" applyFont="1" applyFill="1" applyBorder="1" applyAlignment="1">
      <alignment horizontal="center" vertical="center"/>
    </xf>
    <xf numFmtId="3" fontId="54" fillId="21" borderId="8" xfId="0" applyNumberFormat="1" applyFont="1" applyFill="1" applyBorder="1" applyAlignment="1">
      <alignment horizontal="center" vertical="center"/>
    </xf>
    <xf numFmtId="3" fontId="30" fillId="19" borderId="2" xfId="0" applyNumberFormat="1" applyFont="1" applyFill="1" applyBorder="1" applyAlignment="1">
      <alignment horizontal="center" vertical="center"/>
    </xf>
    <xf numFmtId="0" fontId="30" fillId="19" borderId="4" xfId="0" applyFont="1" applyFill="1" applyBorder="1" applyAlignment="1">
      <alignment horizontal="center" vertical="center"/>
    </xf>
    <xf numFmtId="3" fontId="13" fillId="17" borderId="162" xfId="0" applyNumberFormat="1" applyFont="1" applyFill="1" applyBorder="1" applyAlignment="1">
      <alignment horizontal="center" vertical="center"/>
    </xf>
    <xf numFmtId="3" fontId="13" fillId="17" borderId="163" xfId="0" applyNumberFormat="1" applyFont="1" applyFill="1" applyBorder="1" applyAlignment="1">
      <alignment horizontal="center" vertical="center"/>
    </xf>
    <xf numFmtId="3" fontId="54" fillId="16" borderId="2" xfId="0" applyNumberFormat="1" applyFont="1" applyFill="1" applyBorder="1" applyAlignment="1">
      <alignment horizontal="center" vertical="center"/>
    </xf>
    <xf numFmtId="3" fontId="54" fillId="16" borderId="4" xfId="0" applyNumberFormat="1" applyFont="1" applyFill="1" applyBorder="1" applyAlignment="1">
      <alignment horizontal="center" vertical="center"/>
    </xf>
    <xf numFmtId="0" fontId="24" fillId="19" borderId="2" xfId="0" applyFont="1" applyFill="1" applyBorder="1" applyAlignment="1">
      <alignment horizontal="center" vertical="center" wrapText="1"/>
    </xf>
    <xf numFmtId="0" fontId="24" fillId="19" borderId="4" xfId="0" applyFont="1" applyFill="1" applyBorder="1" applyAlignment="1">
      <alignment horizontal="center" vertical="center" wrapText="1"/>
    </xf>
    <xf numFmtId="0" fontId="16" fillId="16" borderId="144" xfId="0" applyFont="1" applyFill="1" applyBorder="1" applyAlignment="1">
      <alignment horizontal="center" vertical="center"/>
    </xf>
    <xf numFmtId="0" fontId="16" fillId="16" borderId="146" xfId="0" applyFont="1" applyFill="1" applyBorder="1" applyAlignment="1">
      <alignment horizontal="center" vertical="center"/>
    </xf>
    <xf numFmtId="3" fontId="54" fillId="16" borderId="159" xfId="0" applyNumberFormat="1" applyFont="1" applyFill="1" applyBorder="1" applyAlignment="1">
      <alignment horizontal="center" vertical="center"/>
    </xf>
    <xf numFmtId="3" fontId="54" fillId="16" borderId="160" xfId="0" applyNumberFormat="1" applyFont="1" applyFill="1" applyBorder="1" applyAlignment="1">
      <alignment horizontal="center" vertical="center"/>
    </xf>
    <xf numFmtId="3" fontId="54" fillId="16" borderId="7" xfId="0" applyNumberFormat="1" applyFont="1" applyFill="1" applyBorder="1" applyAlignment="1">
      <alignment horizontal="center" vertical="center"/>
    </xf>
    <xf numFmtId="3" fontId="54" fillId="16" borderId="8" xfId="0" applyNumberFormat="1" applyFont="1" applyFill="1" applyBorder="1" applyAlignment="1">
      <alignment horizontal="center" vertical="center"/>
    </xf>
    <xf numFmtId="0" fontId="79" fillId="19" borderId="7" xfId="0" applyFont="1" applyFill="1" applyBorder="1" applyAlignment="1">
      <alignment horizontal="center" vertical="center" wrapText="1"/>
    </xf>
    <xf numFmtId="0" fontId="79" fillId="19" borderId="8" xfId="0" applyFont="1" applyFill="1" applyBorder="1" applyAlignment="1">
      <alignment horizontal="center" vertical="center" wrapText="1"/>
    </xf>
    <xf numFmtId="3" fontId="54" fillId="21" borderId="19" xfId="0" applyNumberFormat="1" applyFont="1" applyFill="1" applyBorder="1" applyAlignment="1">
      <alignment horizontal="center" vertical="center"/>
    </xf>
    <xf numFmtId="3" fontId="54" fillId="21" borderId="14" xfId="0" applyNumberFormat="1" applyFont="1" applyFill="1" applyBorder="1" applyAlignment="1">
      <alignment horizontal="center" vertical="center"/>
    </xf>
    <xf numFmtId="49" fontId="11" fillId="19" borderId="157" xfId="0" applyNumberFormat="1" applyFont="1" applyFill="1" applyBorder="1" applyAlignment="1">
      <alignment horizontal="center" vertical="center"/>
    </xf>
    <xf numFmtId="49" fontId="11" fillId="19" borderId="158" xfId="0" applyNumberFormat="1" applyFont="1" applyFill="1" applyBorder="1" applyAlignment="1">
      <alignment horizontal="center" vertical="center"/>
    </xf>
    <xf numFmtId="0" fontId="73" fillId="0" borderId="0" xfId="0" applyFont="1" applyAlignment="1">
      <alignment horizont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3" fontId="0" fillId="0" borderId="2" xfId="0" applyNumberFormat="1" applyBorder="1" applyAlignment="1">
      <alignment horizontal="center"/>
    </xf>
    <xf numFmtId="3" fontId="0" fillId="0" borderId="4" xfId="0" applyNumberFormat="1" applyBorder="1" applyAlignment="1">
      <alignment horizontal="center"/>
    </xf>
    <xf numFmtId="0" fontId="10" fillId="19" borderId="30" xfId="0" applyFont="1" applyFill="1" applyBorder="1" applyAlignment="1">
      <alignment horizontal="center" vertical="center" wrapText="1"/>
    </xf>
    <xf numFmtId="3" fontId="93" fillId="19" borderId="7" xfId="0" applyNumberFormat="1" applyFont="1" applyFill="1" applyBorder="1" applyAlignment="1">
      <alignment horizontal="center" vertical="center" wrapText="1"/>
    </xf>
    <xf numFmtId="0" fontId="93" fillId="19" borderId="5" xfId="0" applyFont="1" applyFill="1" applyBorder="1" applyAlignment="1">
      <alignment horizontal="center" vertical="center" wrapText="1"/>
    </xf>
    <xf numFmtId="0" fontId="30" fillId="15" borderId="19" xfId="0" applyFont="1" applyFill="1" applyBorder="1" applyAlignment="1">
      <alignment horizontal="center" vertical="center"/>
    </xf>
    <xf numFmtId="0" fontId="30" fillId="15" borderId="14" xfId="0" applyFont="1" applyFill="1" applyBorder="1" applyAlignment="1">
      <alignment horizontal="center" vertical="center"/>
    </xf>
    <xf numFmtId="0" fontId="0" fillId="21" borderId="3" xfId="0" applyFill="1" applyBorder="1" applyAlignment="1">
      <alignment horizontal="center" vertical="center" wrapText="1"/>
    </xf>
    <xf numFmtId="0" fontId="0" fillId="21" borderId="4" xfId="0" applyFill="1" applyBorder="1" applyAlignment="1">
      <alignment horizontal="center" vertical="center" wrapText="1"/>
    </xf>
    <xf numFmtId="3" fontId="98" fillId="21" borderId="2" xfId="0" applyNumberFormat="1" applyFont="1" applyFill="1" applyBorder="1" applyAlignment="1">
      <alignment horizontal="center" vertical="center"/>
    </xf>
    <xf numFmtId="0" fontId="98" fillId="21" borderId="3" xfId="0" applyFont="1" applyFill="1" applyBorder="1" applyAlignment="1">
      <alignment horizontal="center" vertical="center"/>
    </xf>
    <xf numFmtId="0" fontId="0" fillId="21" borderId="2" xfId="0" applyFill="1" applyBorder="1" applyAlignment="1">
      <alignment horizontal="center" vertical="center"/>
    </xf>
    <xf numFmtId="0" fontId="0" fillId="21" borderId="3" xfId="0" applyFill="1" applyBorder="1" applyAlignment="1">
      <alignment horizontal="center" vertical="center"/>
    </xf>
    <xf numFmtId="0" fontId="0" fillId="21" borderId="4" xfId="0" applyFill="1" applyBorder="1" applyAlignment="1">
      <alignment horizontal="center" vertical="center"/>
    </xf>
    <xf numFmtId="0" fontId="30" fillId="19" borderId="5" xfId="0" applyFont="1" applyFill="1" applyBorder="1" applyAlignment="1">
      <alignment horizontal="center" vertical="center"/>
    </xf>
    <xf numFmtId="49" fontId="11" fillId="19" borderId="164" xfId="0" applyNumberFormat="1" applyFont="1" applyFill="1" applyBorder="1" applyAlignment="1">
      <alignment horizontal="center" vertical="center"/>
    </xf>
    <xf numFmtId="3" fontId="54" fillId="16" borderId="32" xfId="0" applyNumberFormat="1" applyFont="1" applyFill="1" applyBorder="1" applyAlignment="1">
      <alignment horizontal="center" vertical="center"/>
    </xf>
    <xf numFmtId="3" fontId="54" fillId="16" borderId="5" xfId="0" applyNumberFormat="1" applyFont="1" applyFill="1" applyBorder="1" applyAlignment="1">
      <alignment horizontal="center" vertical="center"/>
    </xf>
    <xf numFmtId="0" fontId="24" fillId="19" borderId="3" xfId="0" applyFont="1" applyFill="1" applyBorder="1" applyAlignment="1">
      <alignment horizontal="center" vertical="center" wrapText="1"/>
    </xf>
    <xf numFmtId="0" fontId="95" fillId="19" borderId="30" xfId="0" applyFont="1" applyFill="1" applyBorder="1" applyAlignment="1">
      <alignment horizontal="center" vertical="center"/>
    </xf>
    <xf numFmtId="0" fontId="10" fillId="19" borderId="30" xfId="0" applyFont="1" applyFill="1" applyBorder="1" applyAlignment="1">
      <alignment horizontal="center" vertical="center"/>
    </xf>
    <xf numFmtId="0" fontId="16" fillId="16" borderId="163" xfId="0" applyFont="1" applyFill="1" applyBorder="1" applyAlignment="1">
      <alignment horizontal="center" vertical="center"/>
    </xf>
    <xf numFmtId="0" fontId="16" fillId="16" borderId="162" xfId="0" applyFont="1" applyFill="1" applyBorder="1" applyAlignment="1">
      <alignment horizontal="center" vertical="center"/>
    </xf>
    <xf numFmtId="0" fontId="3" fillId="10" borderId="163" xfId="0" applyFont="1" applyFill="1" applyBorder="1" applyAlignment="1">
      <alignment horizontal="center" vertical="center"/>
    </xf>
    <xf numFmtId="0" fontId="13" fillId="36" borderId="18" xfId="0" applyFont="1" applyFill="1" applyBorder="1" applyAlignment="1">
      <alignment horizontal="center" vertical="center"/>
    </xf>
    <xf numFmtId="0" fontId="0" fillId="0" borderId="60" xfId="0" applyBorder="1" applyAlignment="1">
      <alignment horizontal="center"/>
    </xf>
    <xf numFmtId="2" fontId="0" fillId="2" borderId="18" xfId="0" applyNumberFormat="1" applyFill="1" applyBorder="1" applyAlignment="1">
      <alignment horizontal="center" vertical="center"/>
    </xf>
    <xf numFmtId="2" fontId="0" fillId="2" borderId="48" xfId="0" applyNumberFormat="1" applyFill="1" applyBorder="1" applyAlignment="1">
      <alignment horizontal="center" vertical="center"/>
    </xf>
    <xf numFmtId="0" fontId="0" fillId="2" borderId="48" xfId="0" applyFill="1" applyBorder="1" applyAlignment="1">
      <alignment horizontal="center" vertical="center"/>
    </xf>
    <xf numFmtId="10" fontId="13" fillId="2" borderId="111" xfId="0" applyNumberFormat="1" applyFont="1" applyFill="1" applyBorder="1" applyAlignment="1">
      <alignment horizontal="center" vertical="center"/>
    </xf>
    <xf numFmtId="0" fontId="5" fillId="17" borderId="2" xfId="0" applyFont="1" applyFill="1" applyBorder="1" applyAlignment="1">
      <alignment horizontal="right" vertical="center"/>
    </xf>
    <xf numFmtId="0" fontId="5" fillId="17" borderId="3" xfId="0" applyFont="1" applyFill="1" applyBorder="1" applyAlignment="1">
      <alignment horizontal="right" vertical="center"/>
    </xf>
    <xf numFmtId="0" fontId="95" fillId="15" borderId="18" xfId="0" applyFont="1" applyFill="1" applyBorder="1" applyAlignment="1">
      <alignment horizontal="center" vertical="center" wrapText="1"/>
    </xf>
    <xf numFmtId="2" fontId="10" fillId="15" borderId="59" xfId="0" applyNumberFormat="1" applyFont="1" applyFill="1" applyBorder="1" applyAlignment="1">
      <alignment horizontal="center"/>
    </xf>
    <xf numFmtId="2" fontId="10" fillId="15" borderId="165" xfId="0" applyNumberFormat="1" applyFont="1" applyFill="1" applyBorder="1" applyAlignment="1">
      <alignment horizontal="center"/>
    </xf>
    <xf numFmtId="10" fontId="13" fillId="2" borderId="117" xfId="0" applyNumberFormat="1" applyFont="1" applyFill="1" applyBorder="1" applyAlignment="1">
      <alignment horizontal="center" vertical="center"/>
    </xf>
    <xf numFmtId="0" fontId="0" fillId="19" borderId="59" xfId="0" applyFill="1" applyBorder="1" applyAlignment="1">
      <alignment horizontal="center"/>
    </xf>
    <xf numFmtId="0" fontId="0" fillId="19" borderId="165" xfId="0" applyFill="1" applyBorder="1" applyAlignment="1">
      <alignment horizontal="center"/>
    </xf>
    <xf numFmtId="0" fontId="0" fillId="19" borderId="101" xfId="0" applyFill="1" applyBorder="1" applyAlignment="1">
      <alignment horizontal="center"/>
    </xf>
    <xf numFmtId="2" fontId="5" fillId="4" borderId="18" xfId="0" applyNumberFormat="1" applyFont="1" applyFill="1" applyBorder="1" applyAlignment="1">
      <alignment horizontal="center" vertical="center"/>
    </xf>
    <xf numFmtId="0" fontId="5" fillId="2" borderId="145" xfId="0" applyFont="1" applyFill="1" applyBorder="1" applyAlignment="1">
      <alignment horizontal="center" vertical="center" wrapText="1"/>
    </xf>
    <xf numFmtId="10" fontId="52" fillId="2" borderId="111" xfId="0" applyNumberFormat="1" applyFont="1" applyFill="1" applyBorder="1" applyAlignment="1">
      <alignment horizontal="center" vertical="center"/>
    </xf>
    <xf numFmtId="10" fontId="52" fillId="2" borderId="117" xfId="0" applyNumberFormat="1" applyFont="1" applyFill="1" applyBorder="1" applyAlignment="1">
      <alignment horizontal="center" vertical="center"/>
    </xf>
    <xf numFmtId="2" fontId="95" fillId="15" borderId="59" xfId="0" applyNumberFormat="1" applyFont="1" applyFill="1" applyBorder="1" applyAlignment="1">
      <alignment horizontal="center"/>
    </xf>
    <xf numFmtId="2" fontId="95" fillId="15" borderId="165" xfId="0" applyNumberFormat="1" applyFont="1" applyFill="1" applyBorder="1" applyAlignment="1">
      <alignment horizontal="center"/>
    </xf>
    <xf numFmtId="10" fontId="54" fillId="2" borderId="111" xfId="0" applyNumberFormat="1" applyFont="1" applyFill="1" applyBorder="1" applyAlignment="1">
      <alignment horizontal="center" vertical="center"/>
    </xf>
    <xf numFmtId="0" fontId="3" fillId="17" borderId="2" xfId="0" applyFont="1" applyFill="1" applyBorder="1" applyAlignment="1">
      <alignment horizontal="right" vertical="center"/>
    </xf>
    <xf numFmtId="0" fontId="9" fillId="2" borderId="145" xfId="0" applyFont="1" applyFill="1" applyBorder="1" applyAlignment="1">
      <alignment horizontal="center" vertical="center" wrapText="1"/>
    </xf>
    <xf numFmtId="0" fontId="3" fillId="17" borderId="2" xfId="0" applyFont="1" applyFill="1" applyBorder="1" applyAlignment="1">
      <alignment vertical="center"/>
    </xf>
    <xf numFmtId="0" fontId="3" fillId="17" borderId="3" xfId="0" applyFont="1" applyFill="1" applyBorder="1" applyAlignment="1">
      <alignment vertical="center"/>
    </xf>
    <xf numFmtId="0" fontId="38" fillId="2" borderId="16" xfId="0" applyFont="1" applyFill="1" applyBorder="1" applyAlignment="1">
      <alignment horizontal="center" vertical="center"/>
    </xf>
    <xf numFmtId="0" fontId="38" fillId="2" borderId="42" xfId="0" applyFont="1" applyFill="1" applyBorder="1" applyAlignment="1">
      <alignment horizontal="center" vertical="center"/>
    </xf>
    <xf numFmtId="0" fontId="38" fillId="2" borderId="15" xfId="0" applyFont="1" applyFill="1" applyBorder="1" applyAlignment="1">
      <alignment horizontal="center" vertical="center"/>
    </xf>
    <xf numFmtId="0" fontId="16" fillId="2" borderId="16" xfId="0" applyFont="1" applyFill="1" applyBorder="1" applyAlignment="1">
      <alignment horizontal="center"/>
    </xf>
    <xf numFmtId="0" fontId="16" fillId="2" borderId="42" xfId="0" applyFont="1" applyFill="1" applyBorder="1" applyAlignment="1">
      <alignment horizontal="center"/>
    </xf>
    <xf numFmtId="0" fontId="16" fillId="2" borderId="15" xfId="0" applyFont="1" applyFill="1" applyBorder="1" applyAlignment="1">
      <alignment horizontal="center"/>
    </xf>
    <xf numFmtId="0" fontId="16" fillId="2" borderId="16" xfId="0" applyFont="1" applyFill="1" applyBorder="1" applyAlignment="1">
      <alignment horizontal="center" vertical="center"/>
    </xf>
    <xf numFmtId="0" fontId="16" fillId="2" borderId="42" xfId="0" applyFont="1" applyFill="1" applyBorder="1" applyAlignment="1">
      <alignment horizontal="center" vertical="center"/>
    </xf>
    <xf numFmtId="0" fontId="16" fillId="2" borderId="15" xfId="0" applyFont="1" applyFill="1" applyBorder="1" applyAlignment="1">
      <alignment horizontal="center" vertical="center"/>
    </xf>
    <xf numFmtId="0" fontId="11" fillId="15" borderId="0" xfId="0" quotePrefix="1" applyFont="1" applyFill="1" applyAlignment="1">
      <alignment horizontal="left"/>
    </xf>
  </cellXfs>
  <cellStyles count="2">
    <cellStyle name="Köprü"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600" b="1" i="0" u="none" strike="noStrike" kern="1200" spc="0" baseline="0">
                <a:solidFill>
                  <a:schemeClr val="tx1">
                    <a:lumMod val="65000"/>
                    <a:lumOff val="35000"/>
                  </a:schemeClr>
                </a:solidFill>
                <a:latin typeface="+mn-lt"/>
                <a:ea typeface="+mn-ea"/>
                <a:cs typeface="+mn-cs"/>
              </a:defRPr>
            </a:pPr>
            <a:r>
              <a:rPr lang="en-US" sz="3600" b="1"/>
              <a:t>2025 DAHİL SON 3 YILIN RİZİKO VE MASRAF KESİNTİ MİKTARLARININ GİDİŞATI</a:t>
            </a:r>
          </a:p>
        </c:rich>
      </c:tx>
      <c:layout>
        <c:manualLayout>
          <c:xMode val="edge"/>
          <c:yMode val="edge"/>
          <c:x val="0.15921755508978644"/>
          <c:y val="3.9408866995073892E-2"/>
        </c:manualLayout>
      </c:layout>
      <c:overlay val="0"/>
      <c:spPr>
        <a:noFill/>
        <a:ln>
          <a:noFill/>
        </a:ln>
        <a:effectLst/>
      </c:spPr>
      <c:txPr>
        <a:bodyPr rot="0" spcFirstLastPara="1" vertOverflow="ellipsis" vert="horz" wrap="square" anchor="ctr" anchorCtr="1"/>
        <a:lstStyle/>
        <a:p>
          <a:pPr>
            <a:defRPr sz="3600" b="1"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manualLayout>
          <c:layoutTarget val="inner"/>
          <c:xMode val="edge"/>
          <c:yMode val="edge"/>
          <c:x val="0.14144203849518808"/>
          <c:y val="0.30076443569553807"/>
          <c:w val="0.8585579615048119"/>
          <c:h val="0.61498432487605714"/>
        </c:manualLayout>
      </c:layout>
      <c:barChart>
        <c:barDir val="col"/>
        <c:grouping val="clustered"/>
        <c:varyColors val="0"/>
        <c:ser>
          <c:idx val="0"/>
          <c:order val="0"/>
          <c:tx>
            <c:strRef>
              <c:f>'AYRINTILI BİLGİLER'!$P$10</c:f>
              <c:strCache>
                <c:ptCount val="1"/>
                <c:pt idx="0">
                  <c:v>RİZİKO KESİNTİSİ</c:v>
                </c:pt>
              </c:strCache>
            </c:strRef>
          </c:tx>
          <c:spPr>
            <a:solidFill>
              <a:schemeClr val="accent1"/>
            </a:solidFill>
            <a:ln>
              <a:noFill/>
            </a:ln>
            <a:effectLst/>
          </c:spPr>
          <c:invertIfNegative val="0"/>
          <c:val>
            <c:numRef>
              <c:f>'AYRINTILI BİLGİLER'!$P$11:$P$13</c:f>
              <c:numCache>
                <c:formatCode>#,##0</c:formatCode>
                <c:ptCount val="3"/>
                <c:pt idx="0">
                  <c:v>3190.3598602398033</c:v>
                </c:pt>
                <c:pt idx="1">
                  <c:v>6462.0712284470246</c:v>
                </c:pt>
                <c:pt idx="2">
                  <c:v>9547.8006007782606</c:v>
                </c:pt>
              </c:numCache>
            </c:numRef>
          </c:val>
          <c:extLst>
            <c:ext xmlns:c16="http://schemas.microsoft.com/office/drawing/2014/chart" uri="{C3380CC4-5D6E-409C-BE32-E72D297353CC}">
              <c16:uniqueId val="{00000000-EF7D-492F-BD8A-896F414D9540}"/>
            </c:ext>
          </c:extLst>
        </c:ser>
        <c:ser>
          <c:idx val="1"/>
          <c:order val="1"/>
          <c:tx>
            <c:strRef>
              <c:f>'AYRINTILI BİLGİLER'!$Q$10</c:f>
              <c:strCache>
                <c:ptCount val="1"/>
                <c:pt idx="0">
                  <c:v>MASRAF KESİNTİSİ</c:v>
                </c:pt>
              </c:strCache>
            </c:strRef>
          </c:tx>
          <c:spPr>
            <a:solidFill>
              <a:schemeClr val="accent2"/>
            </a:solidFill>
            <a:ln>
              <a:noFill/>
            </a:ln>
            <a:effectLst/>
          </c:spPr>
          <c:invertIfNegative val="0"/>
          <c:val>
            <c:numRef>
              <c:f>'AYRINTILI BİLGİLER'!$Q$11:$Q$13</c:f>
              <c:numCache>
                <c:formatCode>#,##0</c:formatCode>
                <c:ptCount val="3"/>
                <c:pt idx="0">
                  <c:v>24063.298306792785</c:v>
                </c:pt>
                <c:pt idx="1">
                  <c:v>32759.25250571482</c:v>
                </c:pt>
                <c:pt idx="2">
                  <c:v>33832.326983776235</c:v>
                </c:pt>
              </c:numCache>
            </c:numRef>
          </c:val>
          <c:extLst>
            <c:ext xmlns:c16="http://schemas.microsoft.com/office/drawing/2014/chart" uri="{C3380CC4-5D6E-409C-BE32-E72D297353CC}">
              <c16:uniqueId val="{00000001-EF7D-492F-BD8A-896F414D9540}"/>
            </c:ext>
          </c:extLst>
        </c:ser>
        <c:dLbls>
          <c:showLegendKey val="0"/>
          <c:showVal val="0"/>
          <c:showCatName val="0"/>
          <c:showSerName val="0"/>
          <c:showPercent val="0"/>
          <c:showBubbleSize val="0"/>
        </c:dLbls>
        <c:gapWidth val="219"/>
        <c:overlap val="-27"/>
        <c:axId val="1203446352"/>
        <c:axId val="1203448272"/>
      </c:barChart>
      <c:catAx>
        <c:axId val="120344635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03448272"/>
        <c:crosses val="autoZero"/>
        <c:auto val="1"/>
        <c:lblAlgn val="ctr"/>
        <c:lblOffset val="100"/>
        <c:noMultiLvlLbl val="0"/>
      </c:catAx>
      <c:valAx>
        <c:axId val="12034482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034463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tr-T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tr-T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tr-TR"/>
              <a:t>REEL GETİRİ (2003-2024)</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'NEMA ENF REKOR'!$L$84:$L$105</c:f>
              <c:numCache>
                <c:formatCode>0.00%</c:formatCode>
                <c:ptCount val="22"/>
                <c:pt idx="0">
                  <c:v>0.17567567567567566</c:v>
                </c:pt>
                <c:pt idx="1">
                  <c:v>0.28362305580969815</c:v>
                </c:pt>
                <c:pt idx="2">
                  <c:v>0.17734447539461473</c:v>
                </c:pt>
                <c:pt idx="3">
                  <c:v>0.14038286235186859</c:v>
                </c:pt>
                <c:pt idx="4">
                  <c:v>0.42250922509225086</c:v>
                </c:pt>
                <c:pt idx="5">
                  <c:v>0.14713896457765663</c:v>
                </c:pt>
                <c:pt idx="6">
                  <c:v>7.2300469483568053E-2</c:v>
                </c:pt>
                <c:pt idx="7">
                  <c:v>6.296992481203012E-2</c:v>
                </c:pt>
                <c:pt idx="8">
                  <c:v>3.2579185520362097E-2</c:v>
                </c:pt>
                <c:pt idx="9">
                  <c:v>7.5329566854990482E-2</c:v>
                </c:pt>
                <c:pt idx="10">
                  <c:v>7.3556797020484233E-2</c:v>
                </c:pt>
                <c:pt idx="11">
                  <c:v>8.3179297597042456E-2</c:v>
                </c:pt>
                <c:pt idx="12">
                  <c:v>7.6286764705882248E-2</c:v>
                </c:pt>
                <c:pt idx="13">
                  <c:v>9.7695852534562366E-2</c:v>
                </c:pt>
                <c:pt idx="14">
                  <c:v>0.1143878462913317</c:v>
                </c:pt>
                <c:pt idx="15">
                  <c:v>0.1820448877805485</c:v>
                </c:pt>
                <c:pt idx="16">
                  <c:v>7.7817531305903298E-2</c:v>
                </c:pt>
                <c:pt idx="17">
                  <c:v>0.10994764397905765</c:v>
                </c:pt>
                <c:pt idx="18">
                  <c:v>0.34847148736037625</c:v>
                </c:pt>
                <c:pt idx="19">
                  <c:v>0.15724112741218721</c:v>
                </c:pt>
                <c:pt idx="20">
                  <c:v>7.4831583419311842E-2</c:v>
                </c:pt>
                <c:pt idx="21">
                  <c:v>6.6629727109017933E-2</c:v>
                </c:pt>
              </c:numCache>
            </c:numRef>
          </c:val>
          <c:smooth val="0"/>
          <c:extLst>
            <c:ext xmlns:c16="http://schemas.microsoft.com/office/drawing/2014/chart" uri="{C3380CC4-5D6E-409C-BE32-E72D297353CC}">
              <c16:uniqueId val="{00000000-B4C8-4023-88D0-E732E375E0E2}"/>
            </c:ext>
          </c:extLst>
        </c:ser>
        <c:dLbls>
          <c:showLegendKey val="0"/>
          <c:showVal val="0"/>
          <c:showCatName val="0"/>
          <c:showSerName val="0"/>
          <c:showPercent val="0"/>
          <c:showBubbleSize val="0"/>
        </c:dLbls>
        <c:marker val="1"/>
        <c:smooth val="0"/>
        <c:axId val="1249355456"/>
        <c:axId val="1249354496"/>
      </c:lineChart>
      <c:catAx>
        <c:axId val="1249355456"/>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49354496"/>
        <c:crosses val="autoZero"/>
        <c:auto val="1"/>
        <c:lblAlgn val="ctr"/>
        <c:lblOffset val="100"/>
        <c:noMultiLvlLbl val="0"/>
      </c:catAx>
      <c:valAx>
        <c:axId val="12493544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4935545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tr-T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tr-TR"/>
              <a:t>NEMA/ENFLASYON</a:t>
            </a:r>
          </a:p>
          <a:p>
            <a:pPr>
              <a:defRPr/>
            </a:pPr>
            <a:endParaRPr lang="tr-TR"/>
          </a:p>
        </c:rich>
      </c:tx>
      <c:layout>
        <c:manualLayout>
          <c:xMode val="edge"/>
          <c:yMode val="edge"/>
          <c:x val="0.35681233595800527"/>
          <c:y val="6.018518518518518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'NEMA REEL GETİRİ'!$C$5:$C$26</c:f>
              <c:numCache>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Cache>
            </c:numRef>
          </c:cat>
          <c:val>
            <c:numRef>
              <c:f>'NEMA REEL GETİRİ'!$D$5:$D$26</c:f>
              <c:numCache>
                <c:formatCode>0.00</c:formatCode>
                <c:ptCount val="22"/>
                <c:pt idx="0">
                  <c:v>2.1304347826086958</c:v>
                </c:pt>
                <c:pt idx="1">
                  <c:v>4.333333333333333</c:v>
                </c:pt>
                <c:pt idx="2">
                  <c:v>3.4805194805194803</c:v>
                </c:pt>
                <c:pt idx="3">
                  <c:v>2.5876288659793816</c:v>
                </c:pt>
                <c:pt idx="4">
                  <c:v>6.4523809523809526</c:v>
                </c:pt>
                <c:pt idx="5">
                  <c:v>2.6039603960396041</c:v>
                </c:pt>
                <c:pt idx="6">
                  <c:v>2.1846153846153844</c:v>
                </c:pt>
                <c:pt idx="7">
                  <c:v>2.046875</c:v>
                </c:pt>
                <c:pt idx="8">
                  <c:v>1.3428571428571427</c:v>
                </c:pt>
                <c:pt idx="9">
                  <c:v>2.290322580645161</c:v>
                </c:pt>
                <c:pt idx="10">
                  <c:v>2.0675675675675675</c:v>
                </c:pt>
                <c:pt idx="11">
                  <c:v>2.0975609756097562</c:v>
                </c:pt>
                <c:pt idx="12">
                  <c:v>1.9431818181818181</c:v>
                </c:pt>
                <c:pt idx="13">
                  <c:v>2.2470588235294118</c:v>
                </c:pt>
                <c:pt idx="14">
                  <c:v>2.0756302521008401</c:v>
                </c:pt>
                <c:pt idx="15">
                  <c:v>2.0788177339901477</c:v>
                </c:pt>
                <c:pt idx="16">
                  <c:v>1.7372881355932202</c:v>
                </c:pt>
                <c:pt idx="17">
                  <c:v>1.8630136986301369</c:v>
                </c:pt>
                <c:pt idx="18">
                  <c:v>2.3143015521064303</c:v>
                </c:pt>
                <c:pt idx="19">
                  <c:v>1.4018982417924382</c:v>
                </c:pt>
                <c:pt idx="20">
                  <c:v>1.1903659101435851</c:v>
                </c:pt>
                <c:pt idx="21">
                  <c:v>1.2167643082469579</c:v>
                </c:pt>
              </c:numCache>
            </c:numRef>
          </c:val>
          <c:smooth val="0"/>
          <c:extLst>
            <c:ext xmlns:c16="http://schemas.microsoft.com/office/drawing/2014/chart" uri="{C3380CC4-5D6E-409C-BE32-E72D297353CC}">
              <c16:uniqueId val="{00000000-B8D5-4BB8-A07D-6FC8DE927A44}"/>
            </c:ext>
          </c:extLst>
        </c:ser>
        <c:dLbls>
          <c:showLegendKey val="0"/>
          <c:showVal val="0"/>
          <c:showCatName val="0"/>
          <c:showSerName val="0"/>
          <c:showPercent val="0"/>
          <c:showBubbleSize val="0"/>
        </c:dLbls>
        <c:marker val="1"/>
        <c:smooth val="0"/>
        <c:axId val="44203328"/>
        <c:axId val="44204768"/>
      </c:lineChart>
      <c:catAx>
        <c:axId val="44203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44204768"/>
        <c:crosses val="autoZero"/>
        <c:auto val="1"/>
        <c:lblAlgn val="ctr"/>
        <c:lblOffset val="100"/>
        <c:noMultiLvlLbl val="0"/>
      </c:catAx>
      <c:valAx>
        <c:axId val="4420476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442033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tr-T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tr-TR"/>
              <a:t>REEL GETİRİ</a:t>
            </a:r>
          </a:p>
          <a:p>
            <a:pPr>
              <a:defRPr/>
            </a:pPr>
            <a:endParaRPr lang="tr-T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manualLayout>
          <c:layoutTarget val="inner"/>
          <c:xMode val="edge"/>
          <c:yMode val="edge"/>
          <c:x val="8.1600218360603952E-2"/>
          <c:y val="0.12519388966804409"/>
          <c:w val="0.88289171928220589"/>
          <c:h val="0.74160306119563402"/>
        </c:manualLayout>
      </c:layout>
      <c:lineChart>
        <c:grouping val="stacke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'NEMA REEL GETİRİ'!$F$5:$F$26</c:f>
              <c:numCache>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Cache>
            </c:numRef>
          </c:cat>
          <c:val>
            <c:numRef>
              <c:f>'NEMA REEL GETİRİ'!$G$5:$G$26</c:f>
              <c:numCache>
                <c:formatCode>0.00%</c:formatCode>
                <c:ptCount val="22"/>
                <c:pt idx="0">
                  <c:v>0.17567567567567566</c:v>
                </c:pt>
                <c:pt idx="1">
                  <c:v>0.28362305580969815</c:v>
                </c:pt>
                <c:pt idx="2">
                  <c:v>0.17734447539461473</c:v>
                </c:pt>
                <c:pt idx="3">
                  <c:v>0.14038286235186859</c:v>
                </c:pt>
                <c:pt idx="4">
                  <c:v>0.42250922509225086</c:v>
                </c:pt>
                <c:pt idx="5">
                  <c:v>0.14713896457765663</c:v>
                </c:pt>
                <c:pt idx="6">
                  <c:v>7.2300469483568053E-2</c:v>
                </c:pt>
                <c:pt idx="7">
                  <c:v>6.296992481203012E-2</c:v>
                </c:pt>
                <c:pt idx="8">
                  <c:v>3.2579185520362097E-2</c:v>
                </c:pt>
                <c:pt idx="9">
                  <c:v>7.5329566854990482E-2</c:v>
                </c:pt>
                <c:pt idx="10">
                  <c:v>7.3556797020484233E-2</c:v>
                </c:pt>
                <c:pt idx="11">
                  <c:v>8.3179297597042456E-2</c:v>
                </c:pt>
                <c:pt idx="12">
                  <c:v>7.6286764705882248E-2</c:v>
                </c:pt>
                <c:pt idx="13">
                  <c:v>9.7695852534562366E-2</c:v>
                </c:pt>
                <c:pt idx="14">
                  <c:v>0.1143878462913317</c:v>
                </c:pt>
                <c:pt idx="15">
                  <c:v>0.1820448877805485</c:v>
                </c:pt>
                <c:pt idx="16">
                  <c:v>7.7817531305903298E-2</c:v>
                </c:pt>
                <c:pt idx="17">
                  <c:v>0.10994764397905765</c:v>
                </c:pt>
                <c:pt idx="18">
                  <c:v>0.34847148736037625</c:v>
                </c:pt>
                <c:pt idx="19">
                  <c:v>0.15724112741218721</c:v>
                </c:pt>
                <c:pt idx="20">
                  <c:v>7.4831583419311842E-2</c:v>
                </c:pt>
                <c:pt idx="21">
                  <c:v>6.6629727109017933E-2</c:v>
                </c:pt>
              </c:numCache>
            </c:numRef>
          </c:val>
          <c:smooth val="0"/>
          <c:extLst>
            <c:ext xmlns:c16="http://schemas.microsoft.com/office/drawing/2014/chart" uri="{C3380CC4-5D6E-409C-BE32-E72D297353CC}">
              <c16:uniqueId val="{00000000-7E1D-4B6D-BCB1-1D8CF18D02C3}"/>
            </c:ext>
          </c:extLst>
        </c:ser>
        <c:dLbls>
          <c:showLegendKey val="0"/>
          <c:showVal val="0"/>
          <c:showCatName val="0"/>
          <c:showSerName val="0"/>
          <c:showPercent val="0"/>
          <c:showBubbleSize val="0"/>
        </c:dLbls>
        <c:marker val="1"/>
        <c:smooth val="0"/>
        <c:axId val="26051040"/>
        <c:axId val="26051520"/>
      </c:lineChart>
      <c:catAx>
        <c:axId val="26051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26051520"/>
        <c:crosses val="autoZero"/>
        <c:auto val="1"/>
        <c:lblAlgn val="ctr"/>
        <c:lblOffset val="100"/>
        <c:noMultiLvlLbl val="0"/>
      </c:catAx>
      <c:valAx>
        <c:axId val="260515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26051040"/>
        <c:crosses val="autoZero"/>
        <c:crossBetween val="between"/>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tr-T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tr-TR"/>
              <a:t>REEL GETİRİ VE NEMA/ENFLASYON (İŞARETÇİLERİ OLAN YIĞILMIŞ ÇİZGİ GRAFİĞİ)</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cke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'NEMA REEL GETİRİ'!$C$5:$C$26</c:f>
              <c:numCache>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Cache>
            </c:numRef>
          </c:cat>
          <c:val>
            <c:numRef>
              <c:f>'NEMA REEL GETİRİ'!$D$5:$D$26</c:f>
              <c:numCache>
                <c:formatCode>0.00</c:formatCode>
                <c:ptCount val="22"/>
                <c:pt idx="0">
                  <c:v>2.1304347826086958</c:v>
                </c:pt>
                <c:pt idx="1">
                  <c:v>4.333333333333333</c:v>
                </c:pt>
                <c:pt idx="2">
                  <c:v>3.4805194805194803</c:v>
                </c:pt>
                <c:pt idx="3">
                  <c:v>2.5876288659793816</c:v>
                </c:pt>
                <c:pt idx="4">
                  <c:v>6.4523809523809526</c:v>
                </c:pt>
                <c:pt idx="5">
                  <c:v>2.6039603960396041</c:v>
                </c:pt>
                <c:pt idx="6">
                  <c:v>2.1846153846153844</c:v>
                </c:pt>
                <c:pt idx="7">
                  <c:v>2.046875</c:v>
                </c:pt>
                <c:pt idx="8">
                  <c:v>1.3428571428571427</c:v>
                </c:pt>
                <c:pt idx="9">
                  <c:v>2.290322580645161</c:v>
                </c:pt>
                <c:pt idx="10">
                  <c:v>2.0675675675675675</c:v>
                </c:pt>
                <c:pt idx="11">
                  <c:v>2.0975609756097562</c:v>
                </c:pt>
                <c:pt idx="12">
                  <c:v>1.9431818181818181</c:v>
                </c:pt>
                <c:pt idx="13">
                  <c:v>2.2470588235294118</c:v>
                </c:pt>
                <c:pt idx="14">
                  <c:v>2.0756302521008401</c:v>
                </c:pt>
                <c:pt idx="15">
                  <c:v>2.0788177339901477</c:v>
                </c:pt>
                <c:pt idx="16">
                  <c:v>1.7372881355932202</c:v>
                </c:pt>
                <c:pt idx="17">
                  <c:v>1.8630136986301369</c:v>
                </c:pt>
                <c:pt idx="18">
                  <c:v>2.3143015521064303</c:v>
                </c:pt>
                <c:pt idx="19">
                  <c:v>1.4018982417924382</c:v>
                </c:pt>
                <c:pt idx="20">
                  <c:v>1.1903659101435851</c:v>
                </c:pt>
                <c:pt idx="21">
                  <c:v>1.2167643082469579</c:v>
                </c:pt>
              </c:numCache>
            </c:numRef>
          </c:val>
          <c:smooth val="0"/>
          <c:extLst>
            <c:ext xmlns:c16="http://schemas.microsoft.com/office/drawing/2014/chart" uri="{C3380CC4-5D6E-409C-BE32-E72D297353CC}">
              <c16:uniqueId val="{00000000-38CC-4D2D-8D4F-D988605C351C}"/>
            </c:ext>
          </c:extLst>
        </c:ser>
        <c:ser>
          <c:idx val="1"/>
          <c:order val="1"/>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'NEMA REEL GETİRİ'!$C$5:$C$26</c:f>
              <c:numCache>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Cache>
            </c:numRef>
          </c:cat>
          <c:val>
            <c:numRef>
              <c:f>'NEMA REEL GETİRİ'!$E$5:$E$26</c:f>
              <c:numCache>
                <c:formatCode>0.00%</c:formatCode>
                <c:ptCount val="22"/>
                <c:pt idx="0">
                  <c:v>0.17567567567567566</c:v>
                </c:pt>
                <c:pt idx="1">
                  <c:v>0.28362305580969815</c:v>
                </c:pt>
                <c:pt idx="2">
                  <c:v>0.17734447539461473</c:v>
                </c:pt>
                <c:pt idx="3">
                  <c:v>0.14038286235186859</c:v>
                </c:pt>
                <c:pt idx="4">
                  <c:v>0.42250922509225086</c:v>
                </c:pt>
                <c:pt idx="5">
                  <c:v>0.14713896457765663</c:v>
                </c:pt>
                <c:pt idx="6">
                  <c:v>7.2300469483568053E-2</c:v>
                </c:pt>
                <c:pt idx="7">
                  <c:v>6.296992481203012E-2</c:v>
                </c:pt>
                <c:pt idx="8">
                  <c:v>3.2579185520362097E-2</c:v>
                </c:pt>
                <c:pt idx="9">
                  <c:v>7.5329566854990482E-2</c:v>
                </c:pt>
                <c:pt idx="10">
                  <c:v>7.3556797020484233E-2</c:v>
                </c:pt>
                <c:pt idx="11">
                  <c:v>8.3179297597042456E-2</c:v>
                </c:pt>
                <c:pt idx="12">
                  <c:v>7.6286764705882248E-2</c:v>
                </c:pt>
                <c:pt idx="13">
                  <c:v>9.7695852534562366E-2</c:v>
                </c:pt>
                <c:pt idx="14">
                  <c:v>0.1143878462913317</c:v>
                </c:pt>
                <c:pt idx="15">
                  <c:v>0.1820448877805485</c:v>
                </c:pt>
                <c:pt idx="16">
                  <c:v>7.7817531305903298E-2</c:v>
                </c:pt>
                <c:pt idx="17">
                  <c:v>0.10994764397905765</c:v>
                </c:pt>
                <c:pt idx="18">
                  <c:v>0.34847148736037625</c:v>
                </c:pt>
                <c:pt idx="19">
                  <c:v>0.15724112741218721</c:v>
                </c:pt>
                <c:pt idx="20">
                  <c:v>7.4831583419311842E-2</c:v>
                </c:pt>
                <c:pt idx="21">
                  <c:v>7.8404211109571964E-2</c:v>
                </c:pt>
              </c:numCache>
            </c:numRef>
          </c:val>
          <c:smooth val="0"/>
          <c:extLst>
            <c:ext xmlns:c16="http://schemas.microsoft.com/office/drawing/2014/chart" uri="{C3380CC4-5D6E-409C-BE32-E72D297353CC}">
              <c16:uniqueId val="{00000001-38CC-4D2D-8D4F-D988605C351C}"/>
            </c:ext>
          </c:extLst>
        </c:ser>
        <c:dLbls>
          <c:showLegendKey val="0"/>
          <c:showVal val="0"/>
          <c:showCatName val="0"/>
          <c:showSerName val="0"/>
          <c:showPercent val="0"/>
          <c:showBubbleSize val="0"/>
        </c:dLbls>
        <c:marker val="1"/>
        <c:smooth val="0"/>
        <c:axId val="30627552"/>
        <c:axId val="30626592"/>
      </c:lineChart>
      <c:catAx>
        <c:axId val="30627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30626592"/>
        <c:crosses val="autoZero"/>
        <c:auto val="1"/>
        <c:lblAlgn val="ctr"/>
        <c:lblOffset val="100"/>
        <c:noMultiLvlLbl val="0"/>
      </c:catAx>
      <c:valAx>
        <c:axId val="3062659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306275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tr-T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tr-TR"/>
              <a:t>REEL GETİRİ VE NEMA/ENFLASYON (İŞARETÇİLERİ OLAN YIĞILMIŞ ÇİZGİ GRAFİĞİ)</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cked"/>
        <c:varyColors val="0"/>
        <c:ser>
          <c:idx val="0"/>
          <c:order val="0"/>
          <c:tx>
            <c:strRef>
              <c:f>'NEMA REEL GETİRİ'!$D$4</c:f>
              <c:strCache>
                <c:ptCount val="1"/>
                <c:pt idx="0">
                  <c:v>NEMA/ENFLASYON ORANI</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'NEMA REEL GETİRİ'!$C$5:$C$26</c:f>
              <c:numCache>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Cache>
            </c:numRef>
          </c:cat>
          <c:val>
            <c:numRef>
              <c:f>'NEMA REEL GETİRİ'!$D$5:$D$26</c:f>
              <c:numCache>
                <c:formatCode>0.00</c:formatCode>
                <c:ptCount val="22"/>
                <c:pt idx="0">
                  <c:v>2.1304347826086958</c:v>
                </c:pt>
                <c:pt idx="1">
                  <c:v>4.333333333333333</c:v>
                </c:pt>
                <c:pt idx="2">
                  <c:v>3.4805194805194803</c:v>
                </c:pt>
                <c:pt idx="3">
                  <c:v>2.5876288659793816</c:v>
                </c:pt>
                <c:pt idx="4">
                  <c:v>6.4523809523809526</c:v>
                </c:pt>
                <c:pt idx="5">
                  <c:v>2.6039603960396041</c:v>
                </c:pt>
                <c:pt idx="6">
                  <c:v>2.1846153846153844</c:v>
                </c:pt>
                <c:pt idx="7">
                  <c:v>2.046875</c:v>
                </c:pt>
                <c:pt idx="8">
                  <c:v>1.3428571428571427</c:v>
                </c:pt>
                <c:pt idx="9">
                  <c:v>2.290322580645161</c:v>
                </c:pt>
                <c:pt idx="10">
                  <c:v>2.0675675675675675</c:v>
                </c:pt>
                <c:pt idx="11">
                  <c:v>2.0975609756097562</c:v>
                </c:pt>
                <c:pt idx="12">
                  <c:v>1.9431818181818181</c:v>
                </c:pt>
                <c:pt idx="13">
                  <c:v>2.2470588235294118</c:v>
                </c:pt>
                <c:pt idx="14">
                  <c:v>2.0756302521008401</c:v>
                </c:pt>
                <c:pt idx="15">
                  <c:v>2.0788177339901477</c:v>
                </c:pt>
                <c:pt idx="16">
                  <c:v>1.7372881355932202</c:v>
                </c:pt>
                <c:pt idx="17">
                  <c:v>1.8630136986301369</c:v>
                </c:pt>
                <c:pt idx="18">
                  <c:v>2.3143015521064303</c:v>
                </c:pt>
                <c:pt idx="19">
                  <c:v>1.4018982417924382</c:v>
                </c:pt>
                <c:pt idx="20">
                  <c:v>1.1903659101435851</c:v>
                </c:pt>
                <c:pt idx="21">
                  <c:v>1.2167643082469579</c:v>
                </c:pt>
              </c:numCache>
            </c:numRef>
          </c:val>
          <c:smooth val="0"/>
          <c:extLst>
            <c:ext xmlns:c16="http://schemas.microsoft.com/office/drawing/2014/chart" uri="{C3380CC4-5D6E-409C-BE32-E72D297353CC}">
              <c16:uniqueId val="{00000000-3021-4225-AED9-E08B73F4758B}"/>
            </c:ext>
          </c:extLst>
        </c:ser>
        <c:ser>
          <c:idx val="1"/>
          <c:order val="1"/>
          <c:tx>
            <c:strRef>
              <c:f>'NEMA REEL GETİRİ'!$E$4</c:f>
              <c:strCache>
                <c:ptCount val="1"/>
                <c:pt idx="0">
                  <c:v>REEL GETİRİ YÜZDESİ</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'NEMA REEL GETİRİ'!$C$5:$C$26</c:f>
              <c:numCache>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Cache>
            </c:numRef>
          </c:cat>
          <c:val>
            <c:numRef>
              <c:f>'NEMA REEL GETİRİ'!$E$5:$E$26</c:f>
              <c:numCache>
                <c:formatCode>0.00%</c:formatCode>
                <c:ptCount val="22"/>
                <c:pt idx="0">
                  <c:v>0.17567567567567566</c:v>
                </c:pt>
                <c:pt idx="1">
                  <c:v>0.28362305580969815</c:v>
                </c:pt>
                <c:pt idx="2">
                  <c:v>0.17734447539461473</c:v>
                </c:pt>
                <c:pt idx="3">
                  <c:v>0.14038286235186859</c:v>
                </c:pt>
                <c:pt idx="4">
                  <c:v>0.42250922509225086</c:v>
                </c:pt>
                <c:pt idx="5">
                  <c:v>0.14713896457765663</c:v>
                </c:pt>
                <c:pt idx="6">
                  <c:v>7.2300469483568053E-2</c:v>
                </c:pt>
                <c:pt idx="7">
                  <c:v>6.296992481203012E-2</c:v>
                </c:pt>
                <c:pt idx="8">
                  <c:v>3.2579185520362097E-2</c:v>
                </c:pt>
                <c:pt idx="9">
                  <c:v>7.5329566854990482E-2</c:v>
                </c:pt>
                <c:pt idx="10">
                  <c:v>7.3556797020484233E-2</c:v>
                </c:pt>
                <c:pt idx="11">
                  <c:v>8.3179297597042456E-2</c:v>
                </c:pt>
                <c:pt idx="12">
                  <c:v>7.6286764705882248E-2</c:v>
                </c:pt>
                <c:pt idx="13">
                  <c:v>9.7695852534562366E-2</c:v>
                </c:pt>
                <c:pt idx="14">
                  <c:v>0.1143878462913317</c:v>
                </c:pt>
                <c:pt idx="15">
                  <c:v>0.1820448877805485</c:v>
                </c:pt>
                <c:pt idx="16">
                  <c:v>7.7817531305903298E-2</c:v>
                </c:pt>
                <c:pt idx="17">
                  <c:v>0.10994764397905765</c:v>
                </c:pt>
                <c:pt idx="18">
                  <c:v>0.34847148736037625</c:v>
                </c:pt>
                <c:pt idx="19">
                  <c:v>0.15724112741218721</c:v>
                </c:pt>
                <c:pt idx="20">
                  <c:v>7.4831583419311842E-2</c:v>
                </c:pt>
                <c:pt idx="21">
                  <c:v>7.8404211109571964E-2</c:v>
                </c:pt>
              </c:numCache>
            </c:numRef>
          </c:val>
          <c:smooth val="0"/>
          <c:extLst>
            <c:ext xmlns:c16="http://schemas.microsoft.com/office/drawing/2014/chart" uri="{C3380CC4-5D6E-409C-BE32-E72D297353CC}">
              <c16:uniqueId val="{00000001-3021-4225-AED9-E08B73F4758B}"/>
            </c:ext>
          </c:extLst>
        </c:ser>
        <c:dLbls>
          <c:showLegendKey val="0"/>
          <c:showVal val="0"/>
          <c:showCatName val="0"/>
          <c:showSerName val="0"/>
          <c:showPercent val="0"/>
          <c:showBubbleSize val="0"/>
        </c:dLbls>
        <c:marker val="1"/>
        <c:smooth val="0"/>
        <c:axId val="258181120"/>
        <c:axId val="258181600"/>
      </c:lineChart>
      <c:catAx>
        <c:axId val="258181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258181600"/>
        <c:crosses val="autoZero"/>
        <c:auto val="1"/>
        <c:lblAlgn val="ctr"/>
        <c:lblOffset val="100"/>
        <c:noMultiLvlLbl val="0"/>
      </c:catAx>
      <c:valAx>
        <c:axId val="25818160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258181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tr-T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'NEMA REEL GETİRİ'!$C$5:$C$26</c:f>
              <c:numCache>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Cache>
            </c:numRef>
          </c:cat>
          <c:val>
            <c:numRef>
              <c:f>'NEMA REEL GETİRİ'!$D$5:$D$26</c:f>
              <c:numCache>
                <c:formatCode>0.00</c:formatCode>
                <c:ptCount val="22"/>
                <c:pt idx="0">
                  <c:v>2.1304347826086958</c:v>
                </c:pt>
                <c:pt idx="1">
                  <c:v>4.333333333333333</c:v>
                </c:pt>
                <c:pt idx="2">
                  <c:v>3.4805194805194803</c:v>
                </c:pt>
                <c:pt idx="3">
                  <c:v>2.5876288659793816</c:v>
                </c:pt>
                <c:pt idx="4">
                  <c:v>6.4523809523809526</c:v>
                </c:pt>
                <c:pt idx="5">
                  <c:v>2.6039603960396041</c:v>
                </c:pt>
                <c:pt idx="6">
                  <c:v>2.1846153846153844</c:v>
                </c:pt>
                <c:pt idx="7">
                  <c:v>2.046875</c:v>
                </c:pt>
                <c:pt idx="8">
                  <c:v>1.3428571428571427</c:v>
                </c:pt>
                <c:pt idx="9">
                  <c:v>2.290322580645161</c:v>
                </c:pt>
                <c:pt idx="10">
                  <c:v>2.0675675675675675</c:v>
                </c:pt>
                <c:pt idx="11">
                  <c:v>2.0975609756097562</c:v>
                </c:pt>
                <c:pt idx="12">
                  <c:v>1.9431818181818181</c:v>
                </c:pt>
                <c:pt idx="13">
                  <c:v>2.2470588235294118</c:v>
                </c:pt>
                <c:pt idx="14">
                  <c:v>2.0756302521008401</c:v>
                </c:pt>
                <c:pt idx="15">
                  <c:v>2.0788177339901477</c:v>
                </c:pt>
                <c:pt idx="16">
                  <c:v>1.7372881355932202</c:v>
                </c:pt>
                <c:pt idx="17">
                  <c:v>1.8630136986301369</c:v>
                </c:pt>
                <c:pt idx="18">
                  <c:v>2.3143015521064303</c:v>
                </c:pt>
                <c:pt idx="19">
                  <c:v>1.4018982417924382</c:v>
                </c:pt>
                <c:pt idx="20">
                  <c:v>1.1903659101435851</c:v>
                </c:pt>
                <c:pt idx="21">
                  <c:v>1.2167643082469579</c:v>
                </c:pt>
              </c:numCache>
            </c:numRef>
          </c:val>
          <c:smooth val="0"/>
          <c:extLst>
            <c:ext xmlns:c16="http://schemas.microsoft.com/office/drawing/2014/chart" uri="{C3380CC4-5D6E-409C-BE32-E72D297353CC}">
              <c16:uniqueId val="{00000000-8974-44D5-9227-00ABC2F1B93D}"/>
            </c:ext>
          </c:extLst>
        </c:ser>
        <c:ser>
          <c:idx val="1"/>
          <c:order val="1"/>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'NEMA REEL GETİRİ'!$C$5:$C$26</c:f>
              <c:numCache>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Cache>
            </c:numRef>
          </c:cat>
          <c:val>
            <c:numRef>
              <c:f>'NEMA REEL GETİRİ'!$E$5:$E$26</c:f>
              <c:numCache>
                <c:formatCode>0.00%</c:formatCode>
                <c:ptCount val="22"/>
                <c:pt idx="0">
                  <c:v>0.17567567567567566</c:v>
                </c:pt>
                <c:pt idx="1">
                  <c:v>0.28362305580969815</c:v>
                </c:pt>
                <c:pt idx="2">
                  <c:v>0.17734447539461473</c:v>
                </c:pt>
                <c:pt idx="3">
                  <c:v>0.14038286235186859</c:v>
                </c:pt>
                <c:pt idx="4">
                  <c:v>0.42250922509225086</c:v>
                </c:pt>
                <c:pt idx="5">
                  <c:v>0.14713896457765663</c:v>
                </c:pt>
                <c:pt idx="6">
                  <c:v>7.2300469483568053E-2</c:v>
                </c:pt>
                <c:pt idx="7">
                  <c:v>6.296992481203012E-2</c:v>
                </c:pt>
                <c:pt idx="8">
                  <c:v>3.2579185520362097E-2</c:v>
                </c:pt>
                <c:pt idx="9">
                  <c:v>7.5329566854990482E-2</c:v>
                </c:pt>
                <c:pt idx="10">
                  <c:v>7.3556797020484233E-2</c:v>
                </c:pt>
                <c:pt idx="11">
                  <c:v>8.3179297597042456E-2</c:v>
                </c:pt>
                <c:pt idx="12">
                  <c:v>7.6286764705882248E-2</c:v>
                </c:pt>
                <c:pt idx="13">
                  <c:v>9.7695852534562366E-2</c:v>
                </c:pt>
                <c:pt idx="14">
                  <c:v>0.1143878462913317</c:v>
                </c:pt>
                <c:pt idx="15">
                  <c:v>0.1820448877805485</c:v>
                </c:pt>
                <c:pt idx="16">
                  <c:v>7.7817531305903298E-2</c:v>
                </c:pt>
                <c:pt idx="17">
                  <c:v>0.10994764397905765</c:v>
                </c:pt>
                <c:pt idx="18">
                  <c:v>0.34847148736037625</c:v>
                </c:pt>
                <c:pt idx="19">
                  <c:v>0.15724112741218721</c:v>
                </c:pt>
                <c:pt idx="20">
                  <c:v>7.4831583419311842E-2</c:v>
                </c:pt>
                <c:pt idx="21">
                  <c:v>7.8404211109571964E-2</c:v>
                </c:pt>
              </c:numCache>
            </c:numRef>
          </c:val>
          <c:smooth val="0"/>
          <c:extLst>
            <c:ext xmlns:c16="http://schemas.microsoft.com/office/drawing/2014/chart" uri="{C3380CC4-5D6E-409C-BE32-E72D297353CC}">
              <c16:uniqueId val="{00000001-8974-44D5-9227-00ABC2F1B93D}"/>
            </c:ext>
          </c:extLst>
        </c:ser>
        <c:dLbls>
          <c:showLegendKey val="0"/>
          <c:showVal val="0"/>
          <c:showCatName val="0"/>
          <c:showSerName val="0"/>
          <c:showPercent val="0"/>
          <c:showBubbleSize val="0"/>
        </c:dLbls>
        <c:marker val="1"/>
        <c:smooth val="0"/>
        <c:axId val="44841392"/>
        <c:axId val="44843312"/>
      </c:lineChart>
      <c:catAx>
        <c:axId val="44841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44843312"/>
        <c:crosses val="autoZero"/>
        <c:auto val="1"/>
        <c:lblAlgn val="ctr"/>
        <c:lblOffset val="100"/>
        <c:noMultiLvlLbl val="0"/>
      </c:catAx>
      <c:valAx>
        <c:axId val="4484331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44841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tr-T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tr-TR"/>
              <a:t>NEMA/ENFLASYON ORANI VE REEL GETİRİ YÜZDESİ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tx>
            <c:strRef>
              <c:f>'NEMA REEL GETİRİ'!$D$4</c:f>
              <c:strCache>
                <c:ptCount val="1"/>
                <c:pt idx="0">
                  <c:v>NEMA/ENFLASYON ORANI</c:v>
                </c:pt>
              </c:strCache>
            </c:strRef>
          </c:tx>
          <c:spPr>
            <a:ln w="28575" cap="rnd">
              <a:solidFill>
                <a:schemeClr val="accent1"/>
              </a:solidFill>
              <a:round/>
            </a:ln>
            <a:effectLst/>
          </c:spPr>
          <c:marker>
            <c:symbol val="none"/>
          </c:marker>
          <c:cat>
            <c:numRef>
              <c:f>'NEMA REEL GETİRİ'!$C$5:$C$26</c:f>
              <c:numCache>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Cache>
            </c:numRef>
          </c:cat>
          <c:val>
            <c:numRef>
              <c:f>'NEMA REEL GETİRİ'!$D$5:$D$26</c:f>
              <c:numCache>
                <c:formatCode>0.00</c:formatCode>
                <c:ptCount val="22"/>
                <c:pt idx="0">
                  <c:v>2.1304347826086958</c:v>
                </c:pt>
                <c:pt idx="1">
                  <c:v>4.333333333333333</c:v>
                </c:pt>
                <c:pt idx="2">
                  <c:v>3.4805194805194803</c:v>
                </c:pt>
                <c:pt idx="3">
                  <c:v>2.5876288659793816</c:v>
                </c:pt>
                <c:pt idx="4">
                  <c:v>6.4523809523809526</c:v>
                </c:pt>
                <c:pt idx="5">
                  <c:v>2.6039603960396041</c:v>
                </c:pt>
                <c:pt idx="6">
                  <c:v>2.1846153846153844</c:v>
                </c:pt>
                <c:pt idx="7">
                  <c:v>2.046875</c:v>
                </c:pt>
                <c:pt idx="8">
                  <c:v>1.3428571428571427</c:v>
                </c:pt>
                <c:pt idx="9">
                  <c:v>2.290322580645161</c:v>
                </c:pt>
                <c:pt idx="10">
                  <c:v>2.0675675675675675</c:v>
                </c:pt>
                <c:pt idx="11">
                  <c:v>2.0975609756097562</c:v>
                </c:pt>
                <c:pt idx="12">
                  <c:v>1.9431818181818181</c:v>
                </c:pt>
                <c:pt idx="13">
                  <c:v>2.2470588235294118</c:v>
                </c:pt>
                <c:pt idx="14">
                  <c:v>2.0756302521008401</c:v>
                </c:pt>
                <c:pt idx="15">
                  <c:v>2.0788177339901477</c:v>
                </c:pt>
                <c:pt idx="16">
                  <c:v>1.7372881355932202</c:v>
                </c:pt>
                <c:pt idx="17">
                  <c:v>1.8630136986301369</c:v>
                </c:pt>
                <c:pt idx="18">
                  <c:v>2.3143015521064303</c:v>
                </c:pt>
                <c:pt idx="19">
                  <c:v>1.4018982417924382</c:v>
                </c:pt>
                <c:pt idx="20">
                  <c:v>1.1903659101435851</c:v>
                </c:pt>
                <c:pt idx="21">
                  <c:v>1.2167643082469579</c:v>
                </c:pt>
              </c:numCache>
            </c:numRef>
          </c:val>
          <c:smooth val="0"/>
          <c:extLst>
            <c:ext xmlns:c16="http://schemas.microsoft.com/office/drawing/2014/chart" uri="{C3380CC4-5D6E-409C-BE32-E72D297353CC}">
              <c16:uniqueId val="{00000000-C754-421E-9CDC-34F2BAB43BBB}"/>
            </c:ext>
          </c:extLst>
        </c:ser>
        <c:ser>
          <c:idx val="1"/>
          <c:order val="1"/>
          <c:tx>
            <c:strRef>
              <c:f>'NEMA REEL GETİRİ'!$E$4</c:f>
              <c:strCache>
                <c:ptCount val="1"/>
                <c:pt idx="0">
                  <c:v>REEL GETİRİ YÜZDESİ</c:v>
                </c:pt>
              </c:strCache>
            </c:strRef>
          </c:tx>
          <c:spPr>
            <a:ln w="28575" cap="rnd">
              <a:solidFill>
                <a:schemeClr val="accent2"/>
              </a:solidFill>
              <a:round/>
            </a:ln>
            <a:effectLst/>
          </c:spPr>
          <c:marker>
            <c:symbol val="none"/>
          </c:marker>
          <c:cat>
            <c:numRef>
              <c:f>'NEMA REEL GETİRİ'!$C$5:$C$26</c:f>
              <c:numCache>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Cache>
            </c:numRef>
          </c:cat>
          <c:val>
            <c:numRef>
              <c:f>'NEMA REEL GETİRİ'!$E$5:$E$26</c:f>
              <c:numCache>
                <c:formatCode>0.00%</c:formatCode>
                <c:ptCount val="22"/>
                <c:pt idx="0">
                  <c:v>0.17567567567567566</c:v>
                </c:pt>
                <c:pt idx="1">
                  <c:v>0.28362305580969815</c:v>
                </c:pt>
                <c:pt idx="2">
                  <c:v>0.17734447539461473</c:v>
                </c:pt>
                <c:pt idx="3">
                  <c:v>0.14038286235186859</c:v>
                </c:pt>
                <c:pt idx="4">
                  <c:v>0.42250922509225086</c:v>
                </c:pt>
                <c:pt idx="5">
                  <c:v>0.14713896457765663</c:v>
                </c:pt>
                <c:pt idx="6">
                  <c:v>7.2300469483568053E-2</c:v>
                </c:pt>
                <c:pt idx="7">
                  <c:v>6.296992481203012E-2</c:v>
                </c:pt>
                <c:pt idx="8">
                  <c:v>3.2579185520362097E-2</c:v>
                </c:pt>
                <c:pt idx="9">
                  <c:v>7.5329566854990482E-2</c:v>
                </c:pt>
                <c:pt idx="10">
                  <c:v>7.3556797020484233E-2</c:v>
                </c:pt>
                <c:pt idx="11">
                  <c:v>8.3179297597042456E-2</c:v>
                </c:pt>
                <c:pt idx="12">
                  <c:v>7.6286764705882248E-2</c:v>
                </c:pt>
                <c:pt idx="13">
                  <c:v>9.7695852534562366E-2</c:v>
                </c:pt>
                <c:pt idx="14">
                  <c:v>0.1143878462913317</c:v>
                </c:pt>
                <c:pt idx="15">
                  <c:v>0.1820448877805485</c:v>
                </c:pt>
                <c:pt idx="16">
                  <c:v>7.7817531305903298E-2</c:v>
                </c:pt>
                <c:pt idx="17">
                  <c:v>0.10994764397905765</c:v>
                </c:pt>
                <c:pt idx="18">
                  <c:v>0.34847148736037625</c:v>
                </c:pt>
                <c:pt idx="19">
                  <c:v>0.15724112741218721</c:v>
                </c:pt>
                <c:pt idx="20">
                  <c:v>7.4831583419311842E-2</c:v>
                </c:pt>
                <c:pt idx="21">
                  <c:v>7.8404211109571964E-2</c:v>
                </c:pt>
              </c:numCache>
            </c:numRef>
          </c:val>
          <c:smooth val="0"/>
          <c:extLst>
            <c:ext xmlns:c16="http://schemas.microsoft.com/office/drawing/2014/chart" uri="{C3380CC4-5D6E-409C-BE32-E72D297353CC}">
              <c16:uniqueId val="{00000001-C754-421E-9CDC-34F2BAB43BBB}"/>
            </c:ext>
          </c:extLst>
        </c:ser>
        <c:dLbls>
          <c:showLegendKey val="0"/>
          <c:showVal val="0"/>
          <c:showCatName val="0"/>
          <c:showSerName val="0"/>
          <c:showPercent val="0"/>
          <c:showBubbleSize val="0"/>
        </c:dLbls>
        <c:smooth val="0"/>
        <c:axId val="38457008"/>
        <c:axId val="38457488"/>
      </c:lineChart>
      <c:catAx>
        <c:axId val="38457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38457488"/>
        <c:crosses val="autoZero"/>
        <c:auto val="1"/>
        <c:lblAlgn val="ctr"/>
        <c:lblOffset val="100"/>
        <c:noMultiLvlLbl val="0"/>
      </c:catAx>
      <c:valAx>
        <c:axId val="3845748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384570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tr-T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tr-TR" sz="1400" b="0" i="0" u="none" strike="noStrike" kern="1200" spc="0" baseline="0">
                <a:solidFill>
                  <a:sysClr val="windowText" lastClr="000000">
                    <a:lumMod val="65000"/>
                    <a:lumOff val="35000"/>
                  </a:sysClr>
                </a:solidFill>
              </a:rPr>
              <a:t>NEMA/ENFLASYON ORANI VE REEL GETİRİ YÜZDESİ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tx>
            <c:strRef>
              <c:f>'NEMA REEL GETİRİ'!$D$4</c:f>
              <c:strCache>
                <c:ptCount val="1"/>
                <c:pt idx="0">
                  <c:v>NEMA/ENFLASYON ORANI</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'NEMA REEL GETİRİ'!$C$5:$C$26</c:f>
              <c:numCache>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Cache>
            </c:numRef>
          </c:cat>
          <c:val>
            <c:numRef>
              <c:f>'NEMA REEL GETİRİ'!$D$5:$D$26</c:f>
              <c:numCache>
                <c:formatCode>0.00</c:formatCode>
                <c:ptCount val="22"/>
                <c:pt idx="0">
                  <c:v>2.1304347826086958</c:v>
                </c:pt>
                <c:pt idx="1">
                  <c:v>4.333333333333333</c:v>
                </c:pt>
                <c:pt idx="2">
                  <c:v>3.4805194805194803</c:v>
                </c:pt>
                <c:pt idx="3">
                  <c:v>2.5876288659793816</c:v>
                </c:pt>
                <c:pt idx="4">
                  <c:v>6.4523809523809526</c:v>
                </c:pt>
                <c:pt idx="5">
                  <c:v>2.6039603960396041</c:v>
                </c:pt>
                <c:pt idx="6">
                  <c:v>2.1846153846153844</c:v>
                </c:pt>
                <c:pt idx="7">
                  <c:v>2.046875</c:v>
                </c:pt>
                <c:pt idx="8">
                  <c:v>1.3428571428571427</c:v>
                </c:pt>
                <c:pt idx="9">
                  <c:v>2.290322580645161</c:v>
                </c:pt>
                <c:pt idx="10">
                  <c:v>2.0675675675675675</c:v>
                </c:pt>
                <c:pt idx="11">
                  <c:v>2.0975609756097562</c:v>
                </c:pt>
                <c:pt idx="12">
                  <c:v>1.9431818181818181</c:v>
                </c:pt>
                <c:pt idx="13">
                  <c:v>2.2470588235294118</c:v>
                </c:pt>
                <c:pt idx="14">
                  <c:v>2.0756302521008401</c:v>
                </c:pt>
                <c:pt idx="15">
                  <c:v>2.0788177339901477</c:v>
                </c:pt>
                <c:pt idx="16">
                  <c:v>1.7372881355932202</c:v>
                </c:pt>
                <c:pt idx="17">
                  <c:v>1.8630136986301369</c:v>
                </c:pt>
                <c:pt idx="18">
                  <c:v>2.3143015521064303</c:v>
                </c:pt>
                <c:pt idx="19">
                  <c:v>1.4018982417924382</c:v>
                </c:pt>
                <c:pt idx="20">
                  <c:v>1.1903659101435851</c:v>
                </c:pt>
                <c:pt idx="21">
                  <c:v>1.2167643082469579</c:v>
                </c:pt>
              </c:numCache>
            </c:numRef>
          </c:val>
          <c:smooth val="0"/>
          <c:extLst>
            <c:ext xmlns:c16="http://schemas.microsoft.com/office/drawing/2014/chart" uri="{C3380CC4-5D6E-409C-BE32-E72D297353CC}">
              <c16:uniqueId val="{00000000-8FB4-4A73-AE22-B0471B6B5A29}"/>
            </c:ext>
          </c:extLst>
        </c:ser>
        <c:ser>
          <c:idx val="1"/>
          <c:order val="1"/>
          <c:tx>
            <c:strRef>
              <c:f>'NEMA REEL GETİRİ'!$E$4</c:f>
              <c:strCache>
                <c:ptCount val="1"/>
                <c:pt idx="0">
                  <c:v>REEL GETİRİ YÜZDESİ</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'NEMA REEL GETİRİ'!$C$5:$C$26</c:f>
              <c:numCache>
                <c:formatCode>General</c:formatCode>
                <c:ptCount val="22"/>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numCache>
            </c:numRef>
          </c:cat>
          <c:val>
            <c:numRef>
              <c:f>'NEMA REEL GETİRİ'!$E$5:$E$26</c:f>
              <c:numCache>
                <c:formatCode>0.00%</c:formatCode>
                <c:ptCount val="22"/>
                <c:pt idx="0">
                  <c:v>0.17567567567567566</c:v>
                </c:pt>
                <c:pt idx="1">
                  <c:v>0.28362305580969815</c:v>
                </c:pt>
                <c:pt idx="2">
                  <c:v>0.17734447539461473</c:v>
                </c:pt>
                <c:pt idx="3">
                  <c:v>0.14038286235186859</c:v>
                </c:pt>
                <c:pt idx="4">
                  <c:v>0.42250922509225086</c:v>
                </c:pt>
                <c:pt idx="5">
                  <c:v>0.14713896457765663</c:v>
                </c:pt>
                <c:pt idx="6">
                  <c:v>7.2300469483568053E-2</c:v>
                </c:pt>
                <c:pt idx="7">
                  <c:v>6.296992481203012E-2</c:v>
                </c:pt>
                <c:pt idx="8">
                  <c:v>3.2579185520362097E-2</c:v>
                </c:pt>
                <c:pt idx="9">
                  <c:v>7.5329566854990482E-2</c:v>
                </c:pt>
                <c:pt idx="10">
                  <c:v>7.3556797020484233E-2</c:v>
                </c:pt>
                <c:pt idx="11">
                  <c:v>8.3179297597042456E-2</c:v>
                </c:pt>
                <c:pt idx="12">
                  <c:v>7.6286764705882248E-2</c:v>
                </c:pt>
                <c:pt idx="13">
                  <c:v>9.7695852534562366E-2</c:v>
                </c:pt>
                <c:pt idx="14">
                  <c:v>0.1143878462913317</c:v>
                </c:pt>
                <c:pt idx="15">
                  <c:v>0.1820448877805485</c:v>
                </c:pt>
                <c:pt idx="16">
                  <c:v>7.7817531305903298E-2</c:v>
                </c:pt>
                <c:pt idx="17">
                  <c:v>0.10994764397905765</c:v>
                </c:pt>
                <c:pt idx="18">
                  <c:v>0.34847148736037625</c:v>
                </c:pt>
                <c:pt idx="19">
                  <c:v>0.15724112741218721</c:v>
                </c:pt>
                <c:pt idx="20">
                  <c:v>7.4831583419311842E-2</c:v>
                </c:pt>
                <c:pt idx="21">
                  <c:v>7.8404211109571964E-2</c:v>
                </c:pt>
              </c:numCache>
            </c:numRef>
          </c:val>
          <c:smooth val="0"/>
          <c:extLst>
            <c:ext xmlns:c16="http://schemas.microsoft.com/office/drawing/2014/chart" uri="{C3380CC4-5D6E-409C-BE32-E72D297353CC}">
              <c16:uniqueId val="{00000001-8FB4-4A73-AE22-B0471B6B5A29}"/>
            </c:ext>
          </c:extLst>
        </c:ser>
        <c:dLbls>
          <c:showLegendKey val="0"/>
          <c:showVal val="0"/>
          <c:showCatName val="0"/>
          <c:showSerName val="0"/>
          <c:showPercent val="0"/>
          <c:showBubbleSize val="0"/>
        </c:dLbls>
        <c:marker val="1"/>
        <c:smooth val="0"/>
        <c:axId val="36595024"/>
        <c:axId val="337303328"/>
      </c:lineChart>
      <c:catAx>
        <c:axId val="36595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337303328"/>
        <c:crosses val="autoZero"/>
        <c:auto val="1"/>
        <c:lblAlgn val="ctr"/>
        <c:lblOffset val="100"/>
        <c:noMultiLvlLbl val="0"/>
      </c:catAx>
      <c:valAx>
        <c:axId val="33730332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365950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tr-T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chart" Target="../charts/chart5.xml"/><Relationship Id="rId7" Type="http://schemas.openxmlformats.org/officeDocument/2006/relationships/chart" Target="../charts/chart9.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2</xdr:col>
      <xdr:colOff>470807</xdr:colOff>
      <xdr:row>1</xdr:row>
      <xdr:rowOff>615371</xdr:rowOff>
    </xdr:from>
    <xdr:to>
      <xdr:col>2</xdr:col>
      <xdr:colOff>812684</xdr:colOff>
      <xdr:row>2</xdr:row>
      <xdr:rowOff>432707</xdr:rowOff>
    </xdr:to>
    <xdr:sp macro="" textlink="">
      <xdr:nvSpPr>
        <xdr:cNvPr id="2" name="Aşağı Ok 1">
          <a:extLst>
            <a:ext uri="{FF2B5EF4-FFF2-40B4-BE49-F238E27FC236}">
              <a16:creationId xmlns:a16="http://schemas.microsoft.com/office/drawing/2014/main" id="{0F2F471C-B671-4C4C-8240-BBB796B0F24B}"/>
            </a:ext>
          </a:extLst>
        </xdr:cNvPr>
        <xdr:cNvSpPr/>
      </xdr:nvSpPr>
      <xdr:spPr>
        <a:xfrm>
          <a:off x="1156607" y="653471"/>
          <a:ext cx="341877" cy="655536"/>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552450</xdr:colOff>
      <xdr:row>5</xdr:row>
      <xdr:rowOff>381000</xdr:rowOff>
    </xdr:from>
    <xdr:to>
      <xdr:col>6</xdr:col>
      <xdr:colOff>828585</xdr:colOff>
      <xdr:row>5</xdr:row>
      <xdr:rowOff>786333</xdr:rowOff>
    </xdr:to>
    <xdr:sp macro="" textlink="">
      <xdr:nvSpPr>
        <xdr:cNvPr id="3" name="Aşağı Ok 2">
          <a:extLst>
            <a:ext uri="{FF2B5EF4-FFF2-40B4-BE49-F238E27FC236}">
              <a16:creationId xmlns:a16="http://schemas.microsoft.com/office/drawing/2014/main" id="{024FA981-C0D0-4088-B623-7A83786D23FE}"/>
            </a:ext>
          </a:extLst>
        </xdr:cNvPr>
        <xdr:cNvSpPr/>
      </xdr:nvSpPr>
      <xdr:spPr>
        <a:xfrm>
          <a:off x="6362700" y="3886200"/>
          <a:ext cx="276135" cy="405333"/>
        </a:xfrm>
        <a:prstGeom prst="down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476249</xdr:colOff>
      <xdr:row>4</xdr:row>
      <xdr:rowOff>122465</xdr:rowOff>
    </xdr:from>
    <xdr:to>
      <xdr:col>3</xdr:col>
      <xdr:colOff>698268</xdr:colOff>
      <xdr:row>4</xdr:row>
      <xdr:rowOff>778576</xdr:rowOff>
    </xdr:to>
    <xdr:sp macro="" textlink="">
      <xdr:nvSpPr>
        <xdr:cNvPr id="4" name="Aşağı Ok 3">
          <a:extLst>
            <a:ext uri="{FF2B5EF4-FFF2-40B4-BE49-F238E27FC236}">
              <a16:creationId xmlns:a16="http://schemas.microsoft.com/office/drawing/2014/main" id="{0882924B-567B-4814-9550-646BB4E19D9C}"/>
            </a:ext>
          </a:extLst>
        </xdr:cNvPr>
        <xdr:cNvSpPr/>
      </xdr:nvSpPr>
      <xdr:spPr>
        <a:xfrm>
          <a:off x="2612570" y="2530929"/>
          <a:ext cx="222019" cy="656111"/>
        </a:xfrm>
        <a:prstGeom prst="down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389165</xdr:colOff>
      <xdr:row>4</xdr:row>
      <xdr:rowOff>220435</xdr:rowOff>
    </xdr:from>
    <xdr:to>
      <xdr:col>5</xdr:col>
      <xdr:colOff>586196</xdr:colOff>
      <xdr:row>4</xdr:row>
      <xdr:rowOff>701038</xdr:rowOff>
    </xdr:to>
    <xdr:sp macro="" textlink="">
      <xdr:nvSpPr>
        <xdr:cNvPr id="5" name="Aşağı Ok 4">
          <a:extLst>
            <a:ext uri="{FF2B5EF4-FFF2-40B4-BE49-F238E27FC236}">
              <a16:creationId xmlns:a16="http://schemas.microsoft.com/office/drawing/2014/main" id="{1C8CAFEE-16AB-4133-BA6C-ECF5C7447331}"/>
            </a:ext>
          </a:extLst>
        </xdr:cNvPr>
        <xdr:cNvSpPr/>
      </xdr:nvSpPr>
      <xdr:spPr>
        <a:xfrm>
          <a:off x="5113565" y="2925535"/>
          <a:ext cx="197031" cy="480603"/>
        </a:xfrm>
        <a:prstGeom prst="down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427264</xdr:colOff>
      <xdr:row>4</xdr:row>
      <xdr:rowOff>141513</xdr:rowOff>
    </xdr:from>
    <xdr:to>
      <xdr:col>4</xdr:col>
      <xdr:colOff>639503</xdr:colOff>
      <xdr:row>4</xdr:row>
      <xdr:rowOff>696191</xdr:rowOff>
    </xdr:to>
    <xdr:sp macro="" textlink="">
      <xdr:nvSpPr>
        <xdr:cNvPr id="7" name="Aşağı Ok 6">
          <a:extLst>
            <a:ext uri="{FF2B5EF4-FFF2-40B4-BE49-F238E27FC236}">
              <a16:creationId xmlns:a16="http://schemas.microsoft.com/office/drawing/2014/main" id="{775C42D3-20CD-4466-B19F-8B460D2E6EC0}"/>
            </a:ext>
          </a:extLst>
        </xdr:cNvPr>
        <xdr:cNvSpPr/>
      </xdr:nvSpPr>
      <xdr:spPr>
        <a:xfrm>
          <a:off x="4065814" y="2846613"/>
          <a:ext cx="212239" cy="554678"/>
        </a:xfrm>
        <a:prstGeom prst="down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304800</xdr:colOff>
      <xdr:row>2</xdr:row>
      <xdr:rowOff>819150</xdr:rowOff>
    </xdr:from>
    <xdr:to>
      <xdr:col>10</xdr:col>
      <xdr:colOff>552120</xdr:colOff>
      <xdr:row>2</xdr:row>
      <xdr:rowOff>1225138</xdr:rowOff>
    </xdr:to>
    <xdr:sp macro="" textlink="">
      <xdr:nvSpPr>
        <xdr:cNvPr id="10" name="Aşağı Ok 9">
          <a:extLst>
            <a:ext uri="{FF2B5EF4-FFF2-40B4-BE49-F238E27FC236}">
              <a16:creationId xmlns:a16="http://schemas.microsoft.com/office/drawing/2014/main" id="{81F5BBC1-E7C0-4CA0-84F5-7B31395CB905}"/>
            </a:ext>
          </a:extLst>
        </xdr:cNvPr>
        <xdr:cNvSpPr/>
      </xdr:nvSpPr>
      <xdr:spPr>
        <a:xfrm>
          <a:off x="8953500" y="1695450"/>
          <a:ext cx="247320" cy="405988"/>
        </a:xfrm>
        <a:prstGeom prst="downArrow">
          <a:avLst>
            <a:gd name="adj1" fmla="val 50000"/>
            <a:gd name="adj2" fmla="val 85294"/>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628650</xdr:colOff>
      <xdr:row>2</xdr:row>
      <xdr:rowOff>895349</xdr:rowOff>
    </xdr:from>
    <xdr:to>
      <xdr:col>11</xdr:col>
      <xdr:colOff>943265</xdr:colOff>
      <xdr:row>3</xdr:row>
      <xdr:rowOff>69850</xdr:rowOff>
    </xdr:to>
    <xdr:sp macro="" textlink="">
      <xdr:nvSpPr>
        <xdr:cNvPr id="11" name="Aşağı Ok 9">
          <a:extLst>
            <a:ext uri="{FF2B5EF4-FFF2-40B4-BE49-F238E27FC236}">
              <a16:creationId xmlns:a16="http://schemas.microsoft.com/office/drawing/2014/main" id="{F69E9664-8D17-4ED5-A98D-D743ACB3D78C}"/>
            </a:ext>
          </a:extLst>
        </xdr:cNvPr>
        <xdr:cNvSpPr/>
      </xdr:nvSpPr>
      <xdr:spPr>
        <a:xfrm>
          <a:off x="10172700" y="1771649"/>
          <a:ext cx="314615" cy="412751"/>
        </a:xfrm>
        <a:prstGeom prst="downArrow">
          <a:avLst>
            <a:gd name="adj1" fmla="val 50000"/>
            <a:gd name="adj2" fmla="val 85294"/>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914401</xdr:colOff>
      <xdr:row>2</xdr:row>
      <xdr:rowOff>666750</xdr:rowOff>
    </xdr:from>
    <xdr:to>
      <xdr:col>12</xdr:col>
      <xdr:colOff>1396919</xdr:colOff>
      <xdr:row>3</xdr:row>
      <xdr:rowOff>20286</xdr:rowOff>
    </xdr:to>
    <xdr:sp macro="" textlink="">
      <xdr:nvSpPr>
        <xdr:cNvPr id="12" name="Aşağı Ok 9">
          <a:extLst>
            <a:ext uri="{FF2B5EF4-FFF2-40B4-BE49-F238E27FC236}">
              <a16:creationId xmlns:a16="http://schemas.microsoft.com/office/drawing/2014/main" id="{8375DC6B-24D3-4ABC-9CDE-136703AB5BC1}"/>
            </a:ext>
          </a:extLst>
        </xdr:cNvPr>
        <xdr:cNvSpPr/>
      </xdr:nvSpPr>
      <xdr:spPr>
        <a:xfrm>
          <a:off x="11849101" y="1543050"/>
          <a:ext cx="482518" cy="591786"/>
        </a:xfrm>
        <a:prstGeom prst="downArrow">
          <a:avLst>
            <a:gd name="adj1" fmla="val 50000"/>
            <a:gd name="adj2" fmla="val 85294"/>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372140</xdr:colOff>
      <xdr:row>9</xdr:row>
      <xdr:rowOff>70282</xdr:rowOff>
    </xdr:from>
    <xdr:to>
      <xdr:col>8</xdr:col>
      <xdr:colOff>992372</xdr:colOff>
      <xdr:row>9</xdr:row>
      <xdr:rowOff>646208</xdr:rowOff>
    </xdr:to>
    <xdr:sp macro="" textlink="">
      <xdr:nvSpPr>
        <xdr:cNvPr id="6" name="Aşağı Ok 2">
          <a:extLst>
            <a:ext uri="{FF2B5EF4-FFF2-40B4-BE49-F238E27FC236}">
              <a16:creationId xmlns:a16="http://schemas.microsoft.com/office/drawing/2014/main" id="{EA14D0A9-94F7-49A8-897C-0D902267E9C8}"/>
            </a:ext>
          </a:extLst>
        </xdr:cNvPr>
        <xdr:cNvSpPr/>
      </xdr:nvSpPr>
      <xdr:spPr>
        <a:xfrm rot="5400000">
          <a:off x="6073851" y="5284664"/>
          <a:ext cx="575926" cy="3083442"/>
        </a:xfrm>
        <a:prstGeom prst="downArrow">
          <a:avLst>
            <a:gd name="adj1" fmla="val 50000"/>
            <a:gd name="adj2" fmla="val 79550"/>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13</xdr:col>
      <xdr:colOff>288471</xdr:colOff>
      <xdr:row>1</xdr:row>
      <xdr:rowOff>328970</xdr:rowOff>
    </xdr:from>
    <xdr:to>
      <xdr:col>13</xdr:col>
      <xdr:colOff>1007978</xdr:colOff>
      <xdr:row>2</xdr:row>
      <xdr:rowOff>212465</xdr:rowOff>
    </xdr:to>
    <xdr:pic>
      <xdr:nvPicPr>
        <xdr:cNvPr id="22" name="Resim 21">
          <a:extLst>
            <a:ext uri="{FF2B5EF4-FFF2-40B4-BE49-F238E27FC236}">
              <a16:creationId xmlns:a16="http://schemas.microsoft.com/office/drawing/2014/main" id="{820F9883-0641-4B0B-8C6D-5565230B75A7}"/>
            </a:ext>
          </a:extLst>
        </xdr:cNvPr>
        <xdr:cNvPicPr>
          <a:picLocks noChangeAspect="1"/>
        </xdr:cNvPicPr>
      </xdr:nvPicPr>
      <xdr:blipFill>
        <a:blip xmlns:r="http://schemas.openxmlformats.org/officeDocument/2006/relationships" r:embed="rId1"/>
        <a:stretch>
          <a:fillRect/>
        </a:stretch>
      </xdr:blipFill>
      <xdr:spPr>
        <a:xfrm>
          <a:off x="14937921" y="367070"/>
          <a:ext cx="719507" cy="721695"/>
        </a:xfrm>
        <a:prstGeom prst="rect">
          <a:avLst/>
        </a:prstGeom>
      </xdr:spPr>
    </xdr:pic>
    <xdr:clientData/>
  </xdr:twoCellAnchor>
  <xdr:twoCellAnchor editAs="oneCell">
    <xdr:from>
      <xdr:col>21</xdr:col>
      <xdr:colOff>288068</xdr:colOff>
      <xdr:row>9</xdr:row>
      <xdr:rowOff>263006</xdr:rowOff>
    </xdr:from>
    <xdr:to>
      <xdr:col>23</xdr:col>
      <xdr:colOff>423674</xdr:colOff>
      <xdr:row>11</xdr:row>
      <xdr:rowOff>396180</xdr:rowOff>
    </xdr:to>
    <xdr:pic>
      <xdr:nvPicPr>
        <xdr:cNvPr id="23" name="Resim 22">
          <a:extLst>
            <a:ext uri="{FF2B5EF4-FFF2-40B4-BE49-F238E27FC236}">
              <a16:creationId xmlns:a16="http://schemas.microsoft.com/office/drawing/2014/main" id="{D7D31355-7B99-471A-9490-3C1A0D983962}"/>
            </a:ext>
          </a:extLst>
        </xdr:cNvPr>
        <xdr:cNvPicPr>
          <a:picLocks noChangeAspect="1"/>
        </xdr:cNvPicPr>
      </xdr:nvPicPr>
      <xdr:blipFill>
        <a:blip xmlns:r="http://schemas.openxmlformats.org/officeDocument/2006/relationships" r:embed="rId1"/>
        <a:stretch>
          <a:fillRect/>
        </a:stretch>
      </xdr:blipFill>
      <xdr:spPr>
        <a:xfrm>
          <a:off x="21128768" y="6511406"/>
          <a:ext cx="1545306" cy="1580974"/>
        </a:xfrm>
        <a:prstGeom prst="rect">
          <a:avLst/>
        </a:prstGeom>
      </xdr:spPr>
    </xdr:pic>
    <xdr:clientData/>
  </xdr:twoCellAnchor>
  <xdr:twoCellAnchor editAs="oneCell">
    <xdr:from>
      <xdr:col>8</xdr:col>
      <xdr:colOff>136072</xdr:colOff>
      <xdr:row>10</xdr:row>
      <xdr:rowOff>464465</xdr:rowOff>
    </xdr:from>
    <xdr:to>
      <xdr:col>8</xdr:col>
      <xdr:colOff>939943</xdr:colOff>
      <xdr:row>12</xdr:row>
      <xdr:rowOff>49180</xdr:rowOff>
    </xdr:to>
    <xdr:pic>
      <xdr:nvPicPr>
        <xdr:cNvPr id="8" name="Resim 7">
          <a:extLst>
            <a:ext uri="{FF2B5EF4-FFF2-40B4-BE49-F238E27FC236}">
              <a16:creationId xmlns:a16="http://schemas.microsoft.com/office/drawing/2014/main" id="{957D1A74-F04B-497F-8183-68571373B2E1}"/>
            </a:ext>
          </a:extLst>
        </xdr:cNvPr>
        <xdr:cNvPicPr>
          <a:picLocks noChangeAspect="1"/>
        </xdr:cNvPicPr>
      </xdr:nvPicPr>
      <xdr:blipFill>
        <a:blip xmlns:r="http://schemas.openxmlformats.org/officeDocument/2006/relationships" r:embed="rId1"/>
        <a:stretch>
          <a:fillRect/>
        </a:stretch>
      </xdr:blipFill>
      <xdr:spPr>
        <a:xfrm>
          <a:off x="6926036" y="7104751"/>
          <a:ext cx="803871" cy="809358"/>
        </a:xfrm>
        <a:prstGeom prst="rect">
          <a:avLst/>
        </a:prstGeom>
      </xdr:spPr>
    </xdr:pic>
    <xdr:clientData/>
  </xdr:twoCellAnchor>
  <xdr:twoCellAnchor>
    <xdr:from>
      <xdr:col>13</xdr:col>
      <xdr:colOff>38100</xdr:colOff>
      <xdr:row>5</xdr:row>
      <xdr:rowOff>76200</xdr:rowOff>
    </xdr:from>
    <xdr:to>
      <xdr:col>13</xdr:col>
      <xdr:colOff>1085850</xdr:colOff>
      <xdr:row>5</xdr:row>
      <xdr:rowOff>685800</xdr:rowOff>
    </xdr:to>
    <xdr:sp macro="" textlink="">
      <xdr:nvSpPr>
        <xdr:cNvPr id="9" name="Ok: Sağ 8">
          <a:extLst>
            <a:ext uri="{FF2B5EF4-FFF2-40B4-BE49-F238E27FC236}">
              <a16:creationId xmlns:a16="http://schemas.microsoft.com/office/drawing/2014/main" id="{548DEDFE-123D-74E9-0D15-89FD5B3B86F7}"/>
            </a:ext>
          </a:extLst>
        </xdr:cNvPr>
        <xdr:cNvSpPr/>
      </xdr:nvSpPr>
      <xdr:spPr>
        <a:xfrm>
          <a:off x="14687550" y="3581400"/>
          <a:ext cx="1047750" cy="609600"/>
        </a:xfrm>
        <a:prstGeom prst="rightArrow">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4</xdr:col>
      <xdr:colOff>875852</xdr:colOff>
      <xdr:row>11</xdr:row>
      <xdr:rowOff>608965</xdr:rowOff>
    </xdr:from>
    <xdr:to>
      <xdr:col>9</xdr:col>
      <xdr:colOff>221315</xdr:colOff>
      <xdr:row>12</xdr:row>
      <xdr:rowOff>639052</xdr:rowOff>
    </xdr:to>
    <xdr:sp macro="" textlink="">
      <xdr:nvSpPr>
        <xdr:cNvPr id="13" name="Aşağı Ok 2">
          <a:extLst>
            <a:ext uri="{FF2B5EF4-FFF2-40B4-BE49-F238E27FC236}">
              <a16:creationId xmlns:a16="http://schemas.microsoft.com/office/drawing/2014/main" id="{20BD8D72-2855-4184-BCD3-C732FE451C77}"/>
            </a:ext>
          </a:extLst>
        </xdr:cNvPr>
        <xdr:cNvSpPr/>
      </xdr:nvSpPr>
      <xdr:spPr>
        <a:xfrm rot="7198818">
          <a:off x="6667640" y="6590077"/>
          <a:ext cx="639687" cy="4946163"/>
        </a:xfrm>
        <a:prstGeom prst="downArrow">
          <a:avLst>
            <a:gd name="adj1" fmla="val 50000"/>
            <a:gd name="adj2" fmla="val 79550"/>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388619</xdr:colOff>
      <xdr:row>4</xdr:row>
      <xdr:rowOff>182880</xdr:rowOff>
    </xdr:from>
    <xdr:to>
      <xdr:col>5</xdr:col>
      <xdr:colOff>617220</xdr:colOff>
      <xdr:row>6</xdr:row>
      <xdr:rowOff>175260</xdr:rowOff>
    </xdr:to>
    <xdr:sp macro="" textlink="">
      <xdr:nvSpPr>
        <xdr:cNvPr id="3" name="Aşağı Ok 2">
          <a:extLst>
            <a:ext uri="{FF2B5EF4-FFF2-40B4-BE49-F238E27FC236}">
              <a16:creationId xmlns:a16="http://schemas.microsoft.com/office/drawing/2014/main" id="{00000000-0008-0000-0300-000003000000}"/>
            </a:ext>
          </a:extLst>
        </xdr:cNvPr>
        <xdr:cNvSpPr/>
      </xdr:nvSpPr>
      <xdr:spPr>
        <a:xfrm flipH="1">
          <a:off x="5570219" y="2674620"/>
          <a:ext cx="228601" cy="1242060"/>
        </a:xfrm>
        <a:prstGeom prst="downArrow">
          <a:avLst/>
        </a:prstGeom>
        <a:solidFill>
          <a:schemeClr val="tx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975360</xdr:colOff>
      <xdr:row>3</xdr:row>
      <xdr:rowOff>243840</xdr:rowOff>
    </xdr:from>
    <xdr:to>
      <xdr:col>2</xdr:col>
      <xdr:colOff>1173480</xdr:colOff>
      <xdr:row>5</xdr:row>
      <xdr:rowOff>213360</xdr:rowOff>
    </xdr:to>
    <xdr:sp macro="" textlink="">
      <xdr:nvSpPr>
        <xdr:cNvPr id="4" name="Aşağı Ok 3">
          <a:extLst>
            <a:ext uri="{FF2B5EF4-FFF2-40B4-BE49-F238E27FC236}">
              <a16:creationId xmlns:a16="http://schemas.microsoft.com/office/drawing/2014/main" id="{00000000-0008-0000-0300-000004000000}"/>
            </a:ext>
          </a:extLst>
        </xdr:cNvPr>
        <xdr:cNvSpPr/>
      </xdr:nvSpPr>
      <xdr:spPr>
        <a:xfrm flipH="1">
          <a:off x="2842260" y="2125980"/>
          <a:ext cx="198120" cy="1196340"/>
        </a:xfrm>
        <a:prstGeom prst="downArrow">
          <a:avLst/>
        </a:prstGeom>
        <a:solidFill>
          <a:schemeClr val="tx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472440</xdr:colOff>
      <xdr:row>3</xdr:row>
      <xdr:rowOff>198120</xdr:rowOff>
    </xdr:from>
    <xdr:to>
      <xdr:col>3</xdr:col>
      <xdr:colOff>624840</xdr:colOff>
      <xdr:row>4</xdr:row>
      <xdr:rowOff>137160</xdr:rowOff>
    </xdr:to>
    <xdr:sp macro="" textlink="">
      <xdr:nvSpPr>
        <xdr:cNvPr id="5" name="Aşağı Ok 4">
          <a:extLst>
            <a:ext uri="{FF2B5EF4-FFF2-40B4-BE49-F238E27FC236}">
              <a16:creationId xmlns:a16="http://schemas.microsoft.com/office/drawing/2014/main" id="{00000000-0008-0000-0300-000005000000}"/>
            </a:ext>
          </a:extLst>
        </xdr:cNvPr>
        <xdr:cNvSpPr/>
      </xdr:nvSpPr>
      <xdr:spPr>
        <a:xfrm flipH="1">
          <a:off x="3634740" y="2065020"/>
          <a:ext cx="152400" cy="304800"/>
        </a:xfrm>
        <a:prstGeom prst="downArrow">
          <a:avLst/>
        </a:prstGeom>
        <a:solidFill>
          <a:schemeClr val="tx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381000</xdr:colOff>
      <xdr:row>4</xdr:row>
      <xdr:rowOff>190500</xdr:rowOff>
    </xdr:from>
    <xdr:to>
      <xdr:col>4</xdr:col>
      <xdr:colOff>533400</xdr:colOff>
      <xdr:row>5</xdr:row>
      <xdr:rowOff>121920</xdr:rowOff>
    </xdr:to>
    <xdr:sp macro="" textlink="">
      <xdr:nvSpPr>
        <xdr:cNvPr id="8" name="Aşağı Ok 7">
          <a:extLst>
            <a:ext uri="{FF2B5EF4-FFF2-40B4-BE49-F238E27FC236}">
              <a16:creationId xmlns:a16="http://schemas.microsoft.com/office/drawing/2014/main" id="{00000000-0008-0000-0300-000008000000}"/>
            </a:ext>
          </a:extLst>
        </xdr:cNvPr>
        <xdr:cNvSpPr/>
      </xdr:nvSpPr>
      <xdr:spPr>
        <a:xfrm flipH="1">
          <a:off x="4686300" y="2682240"/>
          <a:ext cx="152400" cy="548640"/>
        </a:xfrm>
        <a:prstGeom prst="downArrow">
          <a:avLst/>
        </a:prstGeom>
        <a:solidFill>
          <a:schemeClr val="tx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2677884</xdr:colOff>
      <xdr:row>41</xdr:row>
      <xdr:rowOff>119743</xdr:rowOff>
    </xdr:from>
    <xdr:to>
      <xdr:col>4</xdr:col>
      <xdr:colOff>446314</xdr:colOff>
      <xdr:row>41</xdr:row>
      <xdr:rowOff>250372</xdr:rowOff>
    </xdr:to>
    <xdr:sp macro="" textlink="">
      <xdr:nvSpPr>
        <xdr:cNvPr id="5" name="Sağ Ok 4">
          <a:extLst>
            <a:ext uri="{FF2B5EF4-FFF2-40B4-BE49-F238E27FC236}">
              <a16:creationId xmlns:a16="http://schemas.microsoft.com/office/drawing/2014/main" id="{00000000-0008-0000-0400-000005000000}"/>
            </a:ext>
          </a:extLst>
        </xdr:cNvPr>
        <xdr:cNvSpPr/>
      </xdr:nvSpPr>
      <xdr:spPr>
        <a:xfrm>
          <a:off x="6008913" y="16524514"/>
          <a:ext cx="1251858" cy="130629"/>
        </a:xfrm>
        <a:prstGeom prst="right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2852057</xdr:colOff>
      <xdr:row>38</xdr:row>
      <xdr:rowOff>0</xdr:rowOff>
    </xdr:from>
    <xdr:to>
      <xdr:col>7</xdr:col>
      <xdr:colOff>87086</xdr:colOff>
      <xdr:row>38</xdr:row>
      <xdr:rowOff>359228</xdr:rowOff>
    </xdr:to>
    <xdr:sp macro="" textlink="">
      <xdr:nvSpPr>
        <xdr:cNvPr id="2" name="Sol Ok 1">
          <a:extLst>
            <a:ext uri="{FF2B5EF4-FFF2-40B4-BE49-F238E27FC236}">
              <a16:creationId xmlns:a16="http://schemas.microsoft.com/office/drawing/2014/main" id="{00000000-0008-0000-0400-000002000000}"/>
            </a:ext>
          </a:extLst>
        </xdr:cNvPr>
        <xdr:cNvSpPr/>
      </xdr:nvSpPr>
      <xdr:spPr>
        <a:xfrm>
          <a:off x="6183086" y="13890171"/>
          <a:ext cx="4648200" cy="359228"/>
        </a:xfrm>
        <a:prstGeom prst="leftArrow">
          <a:avLst>
            <a:gd name="adj1" fmla="val 28947"/>
            <a:gd name="adj2" fmla="val 50000"/>
          </a:avLst>
        </a:prstGeom>
        <a:solidFill>
          <a:srgbClr val="FF0000"/>
        </a:solidFill>
        <a:ln>
          <a:solidFill>
            <a:srgbClr val="0070C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1491343</xdr:colOff>
      <xdr:row>41</xdr:row>
      <xdr:rowOff>87085</xdr:rowOff>
    </xdr:from>
    <xdr:to>
      <xdr:col>5</xdr:col>
      <xdr:colOff>381000</xdr:colOff>
      <xdr:row>41</xdr:row>
      <xdr:rowOff>239486</xdr:rowOff>
    </xdr:to>
    <xdr:sp macro="" textlink="">
      <xdr:nvSpPr>
        <xdr:cNvPr id="7" name="Sağ Ok 6">
          <a:extLst>
            <a:ext uri="{FF2B5EF4-FFF2-40B4-BE49-F238E27FC236}">
              <a16:creationId xmlns:a16="http://schemas.microsoft.com/office/drawing/2014/main" id="{00000000-0008-0000-0400-000007000000}"/>
            </a:ext>
          </a:extLst>
        </xdr:cNvPr>
        <xdr:cNvSpPr/>
      </xdr:nvSpPr>
      <xdr:spPr>
        <a:xfrm>
          <a:off x="8305800" y="16491856"/>
          <a:ext cx="783771" cy="152401"/>
        </a:xfrm>
        <a:prstGeom prst="right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544286</xdr:colOff>
      <xdr:row>41</xdr:row>
      <xdr:rowOff>250371</xdr:rowOff>
    </xdr:from>
    <xdr:to>
      <xdr:col>5</xdr:col>
      <xdr:colOff>805543</xdr:colOff>
      <xdr:row>42</xdr:row>
      <xdr:rowOff>664029</xdr:rowOff>
    </xdr:to>
    <xdr:cxnSp macro="">
      <xdr:nvCxnSpPr>
        <xdr:cNvPr id="11" name="Düz Ok Bağlayıcısı 10">
          <a:extLst>
            <a:ext uri="{FF2B5EF4-FFF2-40B4-BE49-F238E27FC236}">
              <a16:creationId xmlns:a16="http://schemas.microsoft.com/office/drawing/2014/main" id="{00000000-0008-0000-0400-00000B000000}"/>
            </a:ext>
          </a:extLst>
        </xdr:cNvPr>
        <xdr:cNvCxnSpPr/>
      </xdr:nvCxnSpPr>
      <xdr:spPr>
        <a:xfrm flipH="1">
          <a:off x="9252857" y="16655142"/>
          <a:ext cx="261257" cy="76200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43542</xdr:colOff>
      <xdr:row>41</xdr:row>
      <xdr:rowOff>272143</xdr:rowOff>
    </xdr:from>
    <xdr:to>
      <xdr:col>6</xdr:col>
      <xdr:colOff>424542</xdr:colOff>
      <xdr:row>42</xdr:row>
      <xdr:rowOff>674914</xdr:rowOff>
    </xdr:to>
    <xdr:cxnSp macro="">
      <xdr:nvCxnSpPr>
        <xdr:cNvPr id="13" name="Düz Ok Bağlayıcısı 12">
          <a:extLst>
            <a:ext uri="{FF2B5EF4-FFF2-40B4-BE49-F238E27FC236}">
              <a16:creationId xmlns:a16="http://schemas.microsoft.com/office/drawing/2014/main" id="{00000000-0008-0000-0400-00000D000000}"/>
            </a:ext>
          </a:extLst>
        </xdr:cNvPr>
        <xdr:cNvCxnSpPr/>
      </xdr:nvCxnSpPr>
      <xdr:spPr>
        <a:xfrm>
          <a:off x="9884228" y="16676914"/>
          <a:ext cx="381000" cy="75111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114299</xdr:colOff>
      <xdr:row>2</xdr:row>
      <xdr:rowOff>38099</xdr:rowOff>
    </xdr:from>
    <xdr:to>
      <xdr:col>5</xdr:col>
      <xdr:colOff>224426</xdr:colOff>
      <xdr:row>2</xdr:row>
      <xdr:rowOff>340008</xdr:rowOff>
    </xdr:to>
    <xdr:sp macro="" textlink="">
      <xdr:nvSpPr>
        <xdr:cNvPr id="2" name="Ok: Yukarı 1">
          <a:extLst>
            <a:ext uri="{FF2B5EF4-FFF2-40B4-BE49-F238E27FC236}">
              <a16:creationId xmlns:a16="http://schemas.microsoft.com/office/drawing/2014/main" id="{A19A0BC3-B29D-4EE6-953D-C663D8386FD5}"/>
            </a:ext>
          </a:extLst>
        </xdr:cNvPr>
        <xdr:cNvSpPr/>
      </xdr:nvSpPr>
      <xdr:spPr>
        <a:xfrm rot="10800000">
          <a:off x="3177539" y="769619"/>
          <a:ext cx="110127" cy="301909"/>
        </a:xfrm>
        <a:prstGeom prst="up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8964</xdr:colOff>
      <xdr:row>9</xdr:row>
      <xdr:rowOff>134470</xdr:rowOff>
    </xdr:from>
    <xdr:to>
      <xdr:col>15</xdr:col>
      <xdr:colOff>537882</xdr:colOff>
      <xdr:row>10</xdr:row>
      <xdr:rowOff>259976</xdr:rowOff>
    </xdr:to>
    <xdr:sp macro="" textlink="">
      <xdr:nvSpPr>
        <xdr:cNvPr id="2" name="Ok: Sağ 1">
          <a:extLst>
            <a:ext uri="{FF2B5EF4-FFF2-40B4-BE49-F238E27FC236}">
              <a16:creationId xmlns:a16="http://schemas.microsoft.com/office/drawing/2014/main" id="{1B1C4518-7156-FF1B-40A1-EC89AC566D85}"/>
            </a:ext>
          </a:extLst>
        </xdr:cNvPr>
        <xdr:cNvSpPr/>
      </xdr:nvSpPr>
      <xdr:spPr>
        <a:xfrm>
          <a:off x="9654988" y="3469341"/>
          <a:ext cx="2357718" cy="519953"/>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613925</xdr:colOff>
      <xdr:row>2</xdr:row>
      <xdr:rowOff>24503</xdr:rowOff>
    </xdr:from>
    <xdr:to>
      <xdr:col>22</xdr:col>
      <xdr:colOff>646436</xdr:colOff>
      <xdr:row>2</xdr:row>
      <xdr:rowOff>713609</xdr:rowOff>
    </xdr:to>
    <xdr:sp macro="" textlink="">
      <xdr:nvSpPr>
        <xdr:cNvPr id="13" name="Aşağı Ok 7">
          <a:extLst>
            <a:ext uri="{FF2B5EF4-FFF2-40B4-BE49-F238E27FC236}">
              <a16:creationId xmlns:a16="http://schemas.microsoft.com/office/drawing/2014/main" id="{E2EF4802-763C-402A-B96F-06894E5F1EE0}"/>
            </a:ext>
          </a:extLst>
        </xdr:cNvPr>
        <xdr:cNvSpPr/>
      </xdr:nvSpPr>
      <xdr:spPr>
        <a:xfrm rot="15982609">
          <a:off x="29975053" y="1333875"/>
          <a:ext cx="689106" cy="1461261"/>
        </a:xfrm>
        <a:prstGeom prst="downArrow">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18</xdr:col>
      <xdr:colOff>205947</xdr:colOff>
      <xdr:row>16</xdr:row>
      <xdr:rowOff>185351</xdr:rowOff>
    </xdr:from>
    <xdr:to>
      <xdr:col>24</xdr:col>
      <xdr:colOff>878704</xdr:colOff>
      <xdr:row>21</xdr:row>
      <xdr:rowOff>4621427</xdr:rowOff>
    </xdr:to>
    <xdr:graphicFrame macro="">
      <xdr:nvGraphicFramePr>
        <xdr:cNvPr id="2" name="Grafik 1">
          <a:extLst>
            <a:ext uri="{FF2B5EF4-FFF2-40B4-BE49-F238E27FC236}">
              <a16:creationId xmlns:a16="http://schemas.microsoft.com/office/drawing/2014/main" id="{8F5D2E00-097F-CDA4-F561-C5F853FE61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20</xdr:col>
      <xdr:colOff>153629</xdr:colOff>
      <xdr:row>87</xdr:row>
      <xdr:rowOff>54077</xdr:rowOff>
    </xdr:from>
    <xdr:to>
      <xdr:col>27</xdr:col>
      <xdr:colOff>424016</xdr:colOff>
      <xdr:row>98</xdr:row>
      <xdr:rowOff>228600</xdr:rowOff>
    </xdr:to>
    <xdr:graphicFrame macro="">
      <xdr:nvGraphicFramePr>
        <xdr:cNvPr id="6" name="Grafik 5">
          <a:extLst>
            <a:ext uri="{FF2B5EF4-FFF2-40B4-BE49-F238E27FC236}">
              <a16:creationId xmlns:a16="http://schemas.microsoft.com/office/drawing/2014/main" id="{53E18FAC-DE43-DEB4-BB79-8421A674A9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97</xdr:row>
      <xdr:rowOff>0</xdr:rowOff>
    </xdr:from>
    <xdr:to>
      <xdr:col>5</xdr:col>
      <xdr:colOff>156282</xdr:colOff>
      <xdr:row>113</xdr:row>
      <xdr:rowOff>45349</xdr:rowOff>
    </xdr:to>
    <xdr:pic>
      <xdr:nvPicPr>
        <xdr:cNvPr id="6" name="Resim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a:stretch>
          <a:fillRect/>
        </a:stretch>
      </xdr:blipFill>
      <xdr:spPr>
        <a:xfrm>
          <a:off x="457200" y="27736800"/>
          <a:ext cx="7495238" cy="2971429"/>
        </a:xfrm>
        <a:prstGeom prst="rect">
          <a:avLst/>
        </a:prstGeom>
      </xdr:spPr>
    </xdr:pic>
    <xdr:clientData/>
  </xdr:twoCellAnchor>
  <xdr:twoCellAnchor>
    <xdr:from>
      <xdr:col>1</xdr:col>
      <xdr:colOff>1176618</xdr:colOff>
      <xdr:row>1</xdr:row>
      <xdr:rowOff>123264</xdr:rowOff>
    </xdr:from>
    <xdr:to>
      <xdr:col>2</xdr:col>
      <xdr:colOff>997323</xdr:colOff>
      <xdr:row>1</xdr:row>
      <xdr:rowOff>291350</xdr:rowOff>
    </xdr:to>
    <xdr:sp macro="" textlink="">
      <xdr:nvSpPr>
        <xdr:cNvPr id="7" name="Yukarı Bükülü Ok 6">
          <a:extLst>
            <a:ext uri="{FF2B5EF4-FFF2-40B4-BE49-F238E27FC236}">
              <a16:creationId xmlns:a16="http://schemas.microsoft.com/office/drawing/2014/main" id="{00000000-0008-0000-0500-000007000000}"/>
            </a:ext>
          </a:extLst>
        </xdr:cNvPr>
        <xdr:cNvSpPr/>
      </xdr:nvSpPr>
      <xdr:spPr>
        <a:xfrm flipV="1">
          <a:off x="3473824" y="605117"/>
          <a:ext cx="1658470" cy="168086"/>
        </a:xfrm>
        <a:prstGeom prst="bentUp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2236695</xdr:colOff>
      <xdr:row>1</xdr:row>
      <xdr:rowOff>89648</xdr:rowOff>
    </xdr:from>
    <xdr:to>
      <xdr:col>1</xdr:col>
      <xdr:colOff>1019735</xdr:colOff>
      <xdr:row>1</xdr:row>
      <xdr:rowOff>280146</xdr:rowOff>
    </xdr:to>
    <xdr:sp macro="" textlink="">
      <xdr:nvSpPr>
        <xdr:cNvPr id="8" name="Yukarı Bükülü Ok 7">
          <a:extLst>
            <a:ext uri="{FF2B5EF4-FFF2-40B4-BE49-F238E27FC236}">
              <a16:creationId xmlns:a16="http://schemas.microsoft.com/office/drawing/2014/main" id="{00000000-0008-0000-0500-000008000000}"/>
            </a:ext>
          </a:extLst>
        </xdr:cNvPr>
        <xdr:cNvSpPr/>
      </xdr:nvSpPr>
      <xdr:spPr>
        <a:xfrm flipV="1">
          <a:off x="2236695" y="571501"/>
          <a:ext cx="1080246" cy="190498"/>
        </a:xfrm>
        <a:prstGeom prst="bentUp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1</xdr:col>
      <xdr:colOff>44822</xdr:colOff>
      <xdr:row>2</xdr:row>
      <xdr:rowOff>134470</xdr:rowOff>
    </xdr:from>
    <xdr:to>
      <xdr:col>1</xdr:col>
      <xdr:colOff>974910</xdr:colOff>
      <xdr:row>2</xdr:row>
      <xdr:rowOff>403411</xdr:rowOff>
    </xdr:to>
    <xdr:sp macro="" textlink="">
      <xdr:nvSpPr>
        <xdr:cNvPr id="14" name="Bükülü Ok 13">
          <a:extLst>
            <a:ext uri="{FF2B5EF4-FFF2-40B4-BE49-F238E27FC236}">
              <a16:creationId xmlns:a16="http://schemas.microsoft.com/office/drawing/2014/main" id="{00000000-0008-0000-0500-00000E000000}"/>
            </a:ext>
          </a:extLst>
        </xdr:cNvPr>
        <xdr:cNvSpPr/>
      </xdr:nvSpPr>
      <xdr:spPr>
        <a:xfrm rot="16200000" flipH="1" flipV="1">
          <a:off x="2672601" y="1305485"/>
          <a:ext cx="268941" cy="930088"/>
        </a:xfrm>
        <a:prstGeom prst="bentArrow">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1</xdr:col>
      <xdr:colOff>986117</xdr:colOff>
      <xdr:row>2</xdr:row>
      <xdr:rowOff>145675</xdr:rowOff>
    </xdr:from>
    <xdr:to>
      <xdr:col>2</xdr:col>
      <xdr:colOff>970431</xdr:colOff>
      <xdr:row>2</xdr:row>
      <xdr:rowOff>432546</xdr:rowOff>
    </xdr:to>
    <xdr:sp macro="" textlink="">
      <xdr:nvSpPr>
        <xdr:cNvPr id="15" name="Bükülü Ok 14">
          <a:extLst>
            <a:ext uri="{FF2B5EF4-FFF2-40B4-BE49-F238E27FC236}">
              <a16:creationId xmlns:a16="http://schemas.microsoft.com/office/drawing/2014/main" id="{00000000-0008-0000-0500-00000F000000}"/>
            </a:ext>
          </a:extLst>
        </xdr:cNvPr>
        <xdr:cNvSpPr/>
      </xdr:nvSpPr>
      <xdr:spPr>
        <a:xfrm rot="16200000" flipH="1" flipV="1">
          <a:off x="4050927" y="879659"/>
          <a:ext cx="286871" cy="1822079"/>
        </a:xfrm>
        <a:prstGeom prst="bentArrow">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2</xdr:col>
      <xdr:colOff>986117</xdr:colOff>
      <xdr:row>2</xdr:row>
      <xdr:rowOff>179293</xdr:rowOff>
    </xdr:from>
    <xdr:to>
      <xdr:col>3</xdr:col>
      <xdr:colOff>898713</xdr:colOff>
      <xdr:row>2</xdr:row>
      <xdr:rowOff>380999</xdr:rowOff>
    </xdr:to>
    <xdr:sp macro="" textlink="">
      <xdr:nvSpPr>
        <xdr:cNvPr id="16" name="Bükülü Ok 15">
          <a:extLst>
            <a:ext uri="{FF2B5EF4-FFF2-40B4-BE49-F238E27FC236}">
              <a16:creationId xmlns:a16="http://schemas.microsoft.com/office/drawing/2014/main" id="{00000000-0008-0000-0500-000010000000}"/>
            </a:ext>
          </a:extLst>
        </xdr:cNvPr>
        <xdr:cNvSpPr/>
      </xdr:nvSpPr>
      <xdr:spPr>
        <a:xfrm rot="16200000" flipH="1" flipV="1">
          <a:off x="5934636" y="867333"/>
          <a:ext cx="201706" cy="1828801"/>
        </a:xfrm>
        <a:prstGeom prst="bentArrow">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4</xdr:col>
      <xdr:colOff>1071285</xdr:colOff>
      <xdr:row>2</xdr:row>
      <xdr:rowOff>141193</xdr:rowOff>
    </xdr:from>
    <xdr:to>
      <xdr:col>5</xdr:col>
      <xdr:colOff>1051115</xdr:colOff>
      <xdr:row>2</xdr:row>
      <xdr:rowOff>342899</xdr:rowOff>
    </xdr:to>
    <xdr:sp macro="" textlink="">
      <xdr:nvSpPr>
        <xdr:cNvPr id="19" name="Bükülü Ok 18">
          <a:extLst>
            <a:ext uri="{FF2B5EF4-FFF2-40B4-BE49-F238E27FC236}">
              <a16:creationId xmlns:a16="http://schemas.microsoft.com/office/drawing/2014/main" id="{00000000-0008-0000-0500-000013000000}"/>
            </a:ext>
          </a:extLst>
        </xdr:cNvPr>
        <xdr:cNvSpPr/>
      </xdr:nvSpPr>
      <xdr:spPr>
        <a:xfrm rot="16200000" flipH="1" flipV="1">
          <a:off x="9672921" y="829233"/>
          <a:ext cx="201706" cy="1828801"/>
        </a:xfrm>
        <a:prstGeom prst="bentArrow">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3</xdr:col>
      <xdr:colOff>909920</xdr:colOff>
      <xdr:row>2</xdr:row>
      <xdr:rowOff>159123</xdr:rowOff>
    </xdr:from>
    <xdr:to>
      <xdr:col>4</xdr:col>
      <xdr:colOff>1001809</xdr:colOff>
      <xdr:row>2</xdr:row>
      <xdr:rowOff>360829</xdr:rowOff>
    </xdr:to>
    <xdr:sp macro="" textlink="">
      <xdr:nvSpPr>
        <xdr:cNvPr id="20" name="Bükülü Ok 19">
          <a:extLst>
            <a:ext uri="{FF2B5EF4-FFF2-40B4-BE49-F238E27FC236}">
              <a16:creationId xmlns:a16="http://schemas.microsoft.com/office/drawing/2014/main" id="{00000000-0008-0000-0500-000014000000}"/>
            </a:ext>
          </a:extLst>
        </xdr:cNvPr>
        <xdr:cNvSpPr/>
      </xdr:nvSpPr>
      <xdr:spPr>
        <a:xfrm rot="16200000" flipH="1" flipV="1">
          <a:off x="7774644" y="847163"/>
          <a:ext cx="201706" cy="1828801"/>
        </a:xfrm>
        <a:prstGeom prst="bentArrow">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2</xdr:col>
      <xdr:colOff>1160930</xdr:colOff>
      <xdr:row>1</xdr:row>
      <xdr:rowOff>107576</xdr:rowOff>
    </xdr:from>
    <xdr:to>
      <xdr:col>3</xdr:col>
      <xdr:colOff>903195</xdr:colOff>
      <xdr:row>1</xdr:row>
      <xdr:rowOff>275662</xdr:rowOff>
    </xdr:to>
    <xdr:sp macro="" textlink="">
      <xdr:nvSpPr>
        <xdr:cNvPr id="21" name="Yukarı Bükülü Ok 20">
          <a:extLst>
            <a:ext uri="{FF2B5EF4-FFF2-40B4-BE49-F238E27FC236}">
              <a16:creationId xmlns:a16="http://schemas.microsoft.com/office/drawing/2014/main" id="{00000000-0008-0000-0500-000015000000}"/>
            </a:ext>
          </a:extLst>
        </xdr:cNvPr>
        <xdr:cNvSpPr/>
      </xdr:nvSpPr>
      <xdr:spPr>
        <a:xfrm flipV="1">
          <a:off x="5295901" y="589429"/>
          <a:ext cx="1658470" cy="168086"/>
        </a:xfrm>
        <a:prstGeom prst="bentUp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1044389</xdr:colOff>
      <xdr:row>1</xdr:row>
      <xdr:rowOff>114299</xdr:rowOff>
    </xdr:from>
    <xdr:to>
      <xdr:col>4</xdr:col>
      <xdr:colOff>965947</xdr:colOff>
      <xdr:row>1</xdr:row>
      <xdr:rowOff>282385</xdr:rowOff>
    </xdr:to>
    <xdr:sp macro="" textlink="">
      <xdr:nvSpPr>
        <xdr:cNvPr id="22" name="Yukarı Bükülü Ok 21">
          <a:extLst>
            <a:ext uri="{FF2B5EF4-FFF2-40B4-BE49-F238E27FC236}">
              <a16:creationId xmlns:a16="http://schemas.microsoft.com/office/drawing/2014/main" id="{00000000-0008-0000-0500-000016000000}"/>
            </a:ext>
          </a:extLst>
        </xdr:cNvPr>
        <xdr:cNvSpPr/>
      </xdr:nvSpPr>
      <xdr:spPr>
        <a:xfrm flipV="1">
          <a:off x="7095565" y="596152"/>
          <a:ext cx="1658470" cy="168086"/>
        </a:xfrm>
        <a:prstGeom prst="bentUp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1219201</xdr:colOff>
      <xdr:row>1</xdr:row>
      <xdr:rowOff>132229</xdr:rowOff>
    </xdr:from>
    <xdr:to>
      <xdr:col>5</xdr:col>
      <xdr:colOff>1028700</xdr:colOff>
      <xdr:row>1</xdr:row>
      <xdr:rowOff>300315</xdr:rowOff>
    </xdr:to>
    <xdr:sp macro="" textlink="">
      <xdr:nvSpPr>
        <xdr:cNvPr id="23" name="Yukarı Bükülü Ok 22">
          <a:extLst>
            <a:ext uri="{FF2B5EF4-FFF2-40B4-BE49-F238E27FC236}">
              <a16:creationId xmlns:a16="http://schemas.microsoft.com/office/drawing/2014/main" id="{00000000-0008-0000-0500-000017000000}"/>
            </a:ext>
          </a:extLst>
        </xdr:cNvPr>
        <xdr:cNvSpPr/>
      </xdr:nvSpPr>
      <xdr:spPr>
        <a:xfrm flipV="1">
          <a:off x="9007289" y="614082"/>
          <a:ext cx="1658470" cy="168086"/>
        </a:xfrm>
        <a:prstGeom prst="bentUp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1160933</xdr:colOff>
      <xdr:row>2</xdr:row>
      <xdr:rowOff>152399</xdr:rowOff>
    </xdr:from>
    <xdr:to>
      <xdr:col>6</xdr:col>
      <xdr:colOff>983881</xdr:colOff>
      <xdr:row>2</xdr:row>
      <xdr:rowOff>354105</xdr:rowOff>
    </xdr:to>
    <xdr:sp macro="" textlink="">
      <xdr:nvSpPr>
        <xdr:cNvPr id="2" name="Bükülü Ok 18">
          <a:extLst>
            <a:ext uri="{FF2B5EF4-FFF2-40B4-BE49-F238E27FC236}">
              <a16:creationId xmlns:a16="http://schemas.microsoft.com/office/drawing/2014/main" id="{7D57C228-B93B-4595-86D7-E5386C32B136}"/>
            </a:ext>
          </a:extLst>
        </xdr:cNvPr>
        <xdr:cNvSpPr/>
      </xdr:nvSpPr>
      <xdr:spPr>
        <a:xfrm rot="16200000" flipH="1" flipV="1">
          <a:off x="12642481" y="840439"/>
          <a:ext cx="201706" cy="1828801"/>
        </a:xfrm>
        <a:prstGeom prst="bentArrow">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5</xdr:col>
      <xdr:colOff>1230406</xdr:colOff>
      <xdr:row>1</xdr:row>
      <xdr:rowOff>98612</xdr:rowOff>
    </xdr:from>
    <xdr:to>
      <xdr:col>6</xdr:col>
      <xdr:colOff>883023</xdr:colOff>
      <xdr:row>1</xdr:row>
      <xdr:rowOff>266698</xdr:rowOff>
    </xdr:to>
    <xdr:sp macro="" textlink="">
      <xdr:nvSpPr>
        <xdr:cNvPr id="3" name="Yukarı Bükülü Ok 22">
          <a:extLst>
            <a:ext uri="{FF2B5EF4-FFF2-40B4-BE49-F238E27FC236}">
              <a16:creationId xmlns:a16="http://schemas.microsoft.com/office/drawing/2014/main" id="{131B35CA-FD9C-46A8-900B-6A0348FCD219}"/>
            </a:ext>
          </a:extLst>
        </xdr:cNvPr>
        <xdr:cNvSpPr/>
      </xdr:nvSpPr>
      <xdr:spPr>
        <a:xfrm flipV="1">
          <a:off x="11898406" y="580465"/>
          <a:ext cx="1658470" cy="168086"/>
        </a:xfrm>
        <a:prstGeom prst="bentUp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9</xdr:col>
      <xdr:colOff>954911</xdr:colOff>
      <xdr:row>62</xdr:row>
      <xdr:rowOff>59835</xdr:rowOff>
    </xdr:from>
    <xdr:to>
      <xdr:col>9</xdr:col>
      <xdr:colOff>1736202</xdr:colOff>
      <xdr:row>64</xdr:row>
      <xdr:rowOff>504722</xdr:rowOff>
    </xdr:to>
    <xdr:pic>
      <xdr:nvPicPr>
        <xdr:cNvPr id="4" name="Resim 3">
          <a:extLst>
            <a:ext uri="{FF2B5EF4-FFF2-40B4-BE49-F238E27FC236}">
              <a16:creationId xmlns:a16="http://schemas.microsoft.com/office/drawing/2014/main" id="{423FDD05-0B84-4A39-8312-0CB72A3B2E72}"/>
            </a:ext>
          </a:extLst>
        </xdr:cNvPr>
        <xdr:cNvPicPr>
          <a:picLocks noChangeAspect="1"/>
        </xdr:cNvPicPr>
      </xdr:nvPicPr>
      <xdr:blipFill>
        <a:blip xmlns:r="http://schemas.openxmlformats.org/officeDocument/2006/relationships" r:embed="rId2"/>
        <a:stretch>
          <a:fillRect/>
        </a:stretch>
      </xdr:blipFill>
      <xdr:spPr>
        <a:xfrm>
          <a:off x="18162607" y="16476594"/>
          <a:ext cx="781291" cy="8114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2476499</xdr:colOff>
      <xdr:row>24</xdr:row>
      <xdr:rowOff>116417</xdr:rowOff>
    </xdr:from>
    <xdr:to>
      <xdr:col>0</xdr:col>
      <xdr:colOff>2709332</xdr:colOff>
      <xdr:row>24</xdr:row>
      <xdr:rowOff>275166</xdr:rowOff>
    </xdr:to>
    <xdr:sp macro="" textlink="">
      <xdr:nvSpPr>
        <xdr:cNvPr id="2" name="Ok: Sağ 1">
          <a:extLst>
            <a:ext uri="{FF2B5EF4-FFF2-40B4-BE49-F238E27FC236}">
              <a16:creationId xmlns:a16="http://schemas.microsoft.com/office/drawing/2014/main" id="{CD97B8C2-72C0-F567-AEEF-D9036FF3A5AD}"/>
            </a:ext>
          </a:extLst>
        </xdr:cNvPr>
        <xdr:cNvSpPr/>
      </xdr:nvSpPr>
      <xdr:spPr>
        <a:xfrm>
          <a:off x="2476499" y="6434667"/>
          <a:ext cx="232833" cy="158749"/>
        </a:xfrm>
        <a:prstGeom prst="righ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2476499</xdr:colOff>
      <xdr:row>24</xdr:row>
      <xdr:rowOff>116417</xdr:rowOff>
    </xdr:from>
    <xdr:to>
      <xdr:col>0</xdr:col>
      <xdr:colOff>2709332</xdr:colOff>
      <xdr:row>24</xdr:row>
      <xdr:rowOff>275166</xdr:rowOff>
    </xdr:to>
    <xdr:sp macro="" textlink="">
      <xdr:nvSpPr>
        <xdr:cNvPr id="2" name="Ok: Sağ 1">
          <a:extLst>
            <a:ext uri="{FF2B5EF4-FFF2-40B4-BE49-F238E27FC236}">
              <a16:creationId xmlns:a16="http://schemas.microsoft.com/office/drawing/2014/main" id="{F294735D-FD07-47BA-B234-3C254D895913}"/>
            </a:ext>
          </a:extLst>
        </xdr:cNvPr>
        <xdr:cNvSpPr/>
      </xdr:nvSpPr>
      <xdr:spPr>
        <a:xfrm>
          <a:off x="2476499" y="6562937"/>
          <a:ext cx="232833" cy="158749"/>
        </a:xfrm>
        <a:prstGeom prst="righ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76201</xdr:colOff>
      <xdr:row>26</xdr:row>
      <xdr:rowOff>60960</xdr:rowOff>
    </xdr:from>
    <xdr:to>
      <xdr:col>12</xdr:col>
      <xdr:colOff>1982223</xdr:colOff>
      <xdr:row>28</xdr:row>
      <xdr:rowOff>7620</xdr:rowOff>
    </xdr:to>
    <xdr:pic>
      <xdr:nvPicPr>
        <xdr:cNvPr id="2" name="Resim 1">
          <a:extLst>
            <a:ext uri="{FF2B5EF4-FFF2-40B4-BE49-F238E27FC236}">
              <a16:creationId xmlns:a16="http://schemas.microsoft.com/office/drawing/2014/main" id="{10E44B8B-D88A-D032-1CAE-CB2ED6C0CCB6}"/>
            </a:ext>
          </a:extLst>
        </xdr:cNvPr>
        <xdr:cNvPicPr>
          <a:picLocks noChangeAspect="1"/>
        </xdr:cNvPicPr>
      </xdr:nvPicPr>
      <xdr:blipFill>
        <a:blip xmlns:r="http://schemas.openxmlformats.org/officeDocument/2006/relationships" r:embed="rId1"/>
        <a:stretch>
          <a:fillRect/>
        </a:stretch>
      </xdr:blipFill>
      <xdr:spPr>
        <a:xfrm>
          <a:off x="12092941" y="5433060"/>
          <a:ext cx="1906022" cy="327660"/>
        </a:xfrm>
        <a:prstGeom prst="rect">
          <a:avLst/>
        </a:prstGeom>
        <a:solidFill>
          <a:schemeClr val="accent1">
            <a:lumMod val="40000"/>
            <a:lumOff val="60000"/>
          </a:schemeClr>
        </a:solid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16</xdr:col>
      <xdr:colOff>471406</xdr:colOff>
      <xdr:row>4</xdr:row>
      <xdr:rowOff>61992</xdr:rowOff>
    </xdr:from>
    <xdr:to>
      <xdr:col>25</xdr:col>
      <xdr:colOff>193728</xdr:colOff>
      <xdr:row>22</xdr:row>
      <xdr:rowOff>180813</xdr:rowOff>
    </xdr:to>
    <xdr:graphicFrame macro="">
      <xdr:nvGraphicFramePr>
        <xdr:cNvPr id="5" name="Grafik 4">
          <a:extLst>
            <a:ext uri="{FF2B5EF4-FFF2-40B4-BE49-F238E27FC236}">
              <a16:creationId xmlns:a16="http://schemas.microsoft.com/office/drawing/2014/main" id="{0A52F71D-C89C-B2A5-5CD2-8078ABAC5C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352534</xdr:colOff>
      <xdr:row>4</xdr:row>
      <xdr:rowOff>183764</xdr:rowOff>
    </xdr:from>
    <xdr:to>
      <xdr:col>36</xdr:col>
      <xdr:colOff>10280</xdr:colOff>
      <xdr:row>23</xdr:row>
      <xdr:rowOff>30574</xdr:rowOff>
    </xdr:to>
    <xdr:graphicFrame macro="">
      <xdr:nvGraphicFramePr>
        <xdr:cNvPr id="8" name="Grafik 7">
          <a:extLst>
            <a:ext uri="{FF2B5EF4-FFF2-40B4-BE49-F238E27FC236}">
              <a16:creationId xmlns:a16="http://schemas.microsoft.com/office/drawing/2014/main" id="{D5FE99C3-2A60-D79E-4108-1A23A25BC3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380999</xdr:colOff>
      <xdr:row>27</xdr:row>
      <xdr:rowOff>118381</xdr:rowOff>
    </xdr:from>
    <xdr:to>
      <xdr:col>30</xdr:col>
      <xdr:colOff>81643</xdr:colOff>
      <xdr:row>63</xdr:row>
      <xdr:rowOff>95249</xdr:rowOff>
    </xdr:to>
    <xdr:graphicFrame macro="">
      <xdr:nvGraphicFramePr>
        <xdr:cNvPr id="11" name="Grafik 10">
          <a:extLst>
            <a:ext uri="{FF2B5EF4-FFF2-40B4-BE49-F238E27FC236}">
              <a16:creationId xmlns:a16="http://schemas.microsoft.com/office/drawing/2014/main" id="{94FBA0A3-E2BB-05FC-0962-F93A9D2088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40821</xdr:colOff>
      <xdr:row>28</xdr:row>
      <xdr:rowOff>149678</xdr:rowOff>
    </xdr:from>
    <xdr:to>
      <xdr:col>16</xdr:col>
      <xdr:colOff>419100</xdr:colOff>
      <xdr:row>66</xdr:row>
      <xdr:rowOff>38100</xdr:rowOff>
    </xdr:to>
    <xdr:graphicFrame macro="">
      <xdr:nvGraphicFramePr>
        <xdr:cNvPr id="12" name="Grafik 11">
          <a:extLst>
            <a:ext uri="{FF2B5EF4-FFF2-40B4-BE49-F238E27FC236}">
              <a16:creationId xmlns:a16="http://schemas.microsoft.com/office/drawing/2014/main" id="{2D1B080C-68FE-59B4-DCC9-A74B1C207D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107950</xdr:colOff>
      <xdr:row>68</xdr:row>
      <xdr:rowOff>50800</xdr:rowOff>
    </xdr:from>
    <xdr:to>
      <xdr:col>14</xdr:col>
      <xdr:colOff>304800</xdr:colOff>
      <xdr:row>91</xdr:row>
      <xdr:rowOff>88900</xdr:rowOff>
    </xdr:to>
    <xdr:graphicFrame macro="">
      <xdr:nvGraphicFramePr>
        <xdr:cNvPr id="15" name="Grafik 14">
          <a:extLst>
            <a:ext uri="{FF2B5EF4-FFF2-40B4-BE49-F238E27FC236}">
              <a16:creationId xmlns:a16="http://schemas.microsoft.com/office/drawing/2014/main" id="{90E643CA-0ABB-030E-32E1-866F68FD88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76200</xdr:colOff>
      <xdr:row>70</xdr:row>
      <xdr:rowOff>12700</xdr:rowOff>
    </xdr:from>
    <xdr:to>
      <xdr:col>29</xdr:col>
      <xdr:colOff>469900</xdr:colOff>
      <xdr:row>94</xdr:row>
      <xdr:rowOff>63500</xdr:rowOff>
    </xdr:to>
    <xdr:graphicFrame macro="">
      <xdr:nvGraphicFramePr>
        <xdr:cNvPr id="27" name="Grafik 26">
          <a:extLst>
            <a:ext uri="{FF2B5EF4-FFF2-40B4-BE49-F238E27FC236}">
              <a16:creationId xmlns:a16="http://schemas.microsoft.com/office/drawing/2014/main" id="{C431C0B0-A57D-51C2-3825-775F7CDD85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546100</xdr:colOff>
      <xdr:row>94</xdr:row>
      <xdr:rowOff>88900</xdr:rowOff>
    </xdr:from>
    <xdr:to>
      <xdr:col>12</xdr:col>
      <xdr:colOff>1041400</xdr:colOff>
      <xdr:row>126</xdr:row>
      <xdr:rowOff>63500</xdr:rowOff>
    </xdr:to>
    <xdr:graphicFrame macro="">
      <xdr:nvGraphicFramePr>
        <xdr:cNvPr id="34" name="Grafik 33">
          <a:extLst>
            <a:ext uri="{FF2B5EF4-FFF2-40B4-BE49-F238E27FC236}">
              <a16:creationId xmlns:a16="http://schemas.microsoft.com/office/drawing/2014/main" id="{B454B1DC-9B60-4577-CBFD-C8DCF1A85A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xdr:col>
      <xdr:colOff>2282879</xdr:colOff>
      <xdr:row>6</xdr:row>
      <xdr:rowOff>173621</xdr:rowOff>
    </xdr:from>
    <xdr:to>
      <xdr:col>3</xdr:col>
      <xdr:colOff>818325</xdr:colOff>
      <xdr:row>6</xdr:row>
      <xdr:rowOff>379273</xdr:rowOff>
    </xdr:to>
    <xdr:sp macro="" textlink="">
      <xdr:nvSpPr>
        <xdr:cNvPr id="5" name="Ok: Sol 4">
          <a:extLst>
            <a:ext uri="{FF2B5EF4-FFF2-40B4-BE49-F238E27FC236}">
              <a16:creationId xmlns:a16="http://schemas.microsoft.com/office/drawing/2014/main" id="{AEA5A94C-065A-48E5-9B4B-EBB59DB8E05D}"/>
            </a:ext>
          </a:extLst>
        </xdr:cNvPr>
        <xdr:cNvSpPr/>
      </xdr:nvSpPr>
      <xdr:spPr>
        <a:xfrm>
          <a:off x="7090203" y="1843297"/>
          <a:ext cx="1067975" cy="205652"/>
        </a:xfrm>
        <a:prstGeom prst="leftArrow">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2</xdr:col>
      <xdr:colOff>2431675</xdr:colOff>
      <xdr:row>12</xdr:row>
      <xdr:rowOff>425823</xdr:rowOff>
    </xdr:from>
    <xdr:to>
      <xdr:col>3</xdr:col>
      <xdr:colOff>481851</xdr:colOff>
      <xdr:row>15</xdr:row>
      <xdr:rowOff>805947</xdr:rowOff>
    </xdr:to>
    <xdr:sp macro="" textlink="">
      <xdr:nvSpPr>
        <xdr:cNvPr id="7" name="Ok: Sağa Bükülü 6">
          <a:extLst>
            <a:ext uri="{FF2B5EF4-FFF2-40B4-BE49-F238E27FC236}">
              <a16:creationId xmlns:a16="http://schemas.microsoft.com/office/drawing/2014/main" id="{7D08D252-6D5A-4672-BD54-CBD6433FBDC4}"/>
            </a:ext>
          </a:extLst>
        </xdr:cNvPr>
        <xdr:cNvSpPr/>
      </xdr:nvSpPr>
      <xdr:spPr>
        <a:xfrm flipH="1">
          <a:off x="7586381" y="4471147"/>
          <a:ext cx="773205" cy="1657594"/>
        </a:xfrm>
        <a:prstGeom prst="curvedRightArrow">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solidFill>
              <a:schemeClr val="tx1"/>
            </a:solidFill>
          </a:endParaRPr>
        </a:p>
      </xdr:txBody>
    </xdr:sp>
    <xdr:clientData/>
  </xdr:twoCellAnchor>
  <xdr:twoCellAnchor>
    <xdr:from>
      <xdr:col>2</xdr:col>
      <xdr:colOff>2420470</xdr:colOff>
      <xdr:row>17</xdr:row>
      <xdr:rowOff>291352</xdr:rowOff>
    </xdr:from>
    <xdr:to>
      <xdr:col>3</xdr:col>
      <xdr:colOff>829236</xdr:colOff>
      <xdr:row>17</xdr:row>
      <xdr:rowOff>593911</xdr:rowOff>
    </xdr:to>
    <xdr:sp macro="" textlink="">
      <xdr:nvSpPr>
        <xdr:cNvPr id="8" name="Ok: Sol 7">
          <a:extLst>
            <a:ext uri="{FF2B5EF4-FFF2-40B4-BE49-F238E27FC236}">
              <a16:creationId xmlns:a16="http://schemas.microsoft.com/office/drawing/2014/main" id="{5D933D98-D872-451B-9DD7-6E4EF6F29D8A}"/>
            </a:ext>
          </a:extLst>
        </xdr:cNvPr>
        <xdr:cNvSpPr/>
      </xdr:nvSpPr>
      <xdr:spPr>
        <a:xfrm>
          <a:off x="7575176" y="6734734"/>
          <a:ext cx="1131795" cy="302559"/>
        </a:xfrm>
        <a:prstGeom prst="leftArrow">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2</xdr:col>
      <xdr:colOff>2421041</xdr:colOff>
      <xdr:row>7</xdr:row>
      <xdr:rowOff>210726</xdr:rowOff>
    </xdr:from>
    <xdr:to>
      <xdr:col>3</xdr:col>
      <xdr:colOff>645825</xdr:colOff>
      <xdr:row>12</xdr:row>
      <xdr:rowOff>508653</xdr:rowOff>
    </xdr:to>
    <xdr:sp macro="" textlink="">
      <xdr:nvSpPr>
        <xdr:cNvPr id="2" name="Ok: Sağa Bükülü 1">
          <a:extLst>
            <a:ext uri="{FF2B5EF4-FFF2-40B4-BE49-F238E27FC236}">
              <a16:creationId xmlns:a16="http://schemas.microsoft.com/office/drawing/2014/main" id="{49D114FD-B8E6-451E-A10D-9560964C6CFC}"/>
            </a:ext>
          </a:extLst>
        </xdr:cNvPr>
        <xdr:cNvSpPr/>
      </xdr:nvSpPr>
      <xdr:spPr>
        <a:xfrm rot="454106" flipH="1">
          <a:off x="7575747" y="2440697"/>
          <a:ext cx="947813" cy="2113280"/>
        </a:xfrm>
        <a:prstGeom prst="curvedRightArrow">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tr-TR" sz="1100">
            <a:solidFill>
              <a:schemeClr val="tx1"/>
            </a:solidFill>
            <a:latin typeface="+mn-lt"/>
            <a:ea typeface="+mn-ea"/>
            <a:cs typeface="+mn-cs"/>
          </a:endParaRPr>
        </a:p>
      </xdr:txBody>
    </xdr:sp>
    <xdr:clientData/>
  </xdr:twoCellAnchor>
  <xdr:twoCellAnchor>
    <xdr:from>
      <xdr:col>0</xdr:col>
      <xdr:colOff>179294</xdr:colOff>
      <xdr:row>9</xdr:row>
      <xdr:rowOff>145676</xdr:rowOff>
    </xdr:from>
    <xdr:to>
      <xdr:col>1</xdr:col>
      <xdr:colOff>65076</xdr:colOff>
      <xdr:row>14</xdr:row>
      <xdr:rowOff>255709</xdr:rowOff>
    </xdr:to>
    <xdr:sp macro="" textlink="">
      <xdr:nvSpPr>
        <xdr:cNvPr id="3" name="Ok: Sağa Bükülü 2">
          <a:extLst>
            <a:ext uri="{FF2B5EF4-FFF2-40B4-BE49-F238E27FC236}">
              <a16:creationId xmlns:a16="http://schemas.microsoft.com/office/drawing/2014/main" id="{B229F0C3-DE1A-445E-BEF6-1DD37422F48B}"/>
            </a:ext>
          </a:extLst>
        </xdr:cNvPr>
        <xdr:cNvSpPr/>
      </xdr:nvSpPr>
      <xdr:spPr>
        <a:xfrm flipV="1">
          <a:off x="179294" y="3014382"/>
          <a:ext cx="502106" cy="2216739"/>
        </a:xfrm>
        <a:prstGeom prst="curvedRightArrow">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solidFill>
              <a:schemeClr val="tx1"/>
            </a:solidFill>
          </a:endParaRPr>
        </a:p>
      </xdr:txBody>
    </xdr:sp>
    <xdr:clientData/>
  </xdr:twoCellAnchor>
  <xdr:twoCellAnchor>
    <xdr:from>
      <xdr:col>2</xdr:col>
      <xdr:colOff>98821</xdr:colOff>
      <xdr:row>15</xdr:row>
      <xdr:rowOff>437587</xdr:rowOff>
    </xdr:from>
    <xdr:to>
      <xdr:col>2</xdr:col>
      <xdr:colOff>614600</xdr:colOff>
      <xdr:row>17</xdr:row>
      <xdr:rowOff>446302</xdr:rowOff>
    </xdr:to>
    <xdr:sp macro="" textlink="">
      <xdr:nvSpPr>
        <xdr:cNvPr id="4" name="Ok: Sağa Bükülü 3">
          <a:extLst>
            <a:ext uri="{FF2B5EF4-FFF2-40B4-BE49-F238E27FC236}">
              <a16:creationId xmlns:a16="http://schemas.microsoft.com/office/drawing/2014/main" id="{7461D864-34FE-4CA1-9D77-67037778161A}"/>
            </a:ext>
          </a:extLst>
        </xdr:cNvPr>
        <xdr:cNvSpPr/>
      </xdr:nvSpPr>
      <xdr:spPr>
        <a:xfrm rot="914575">
          <a:off x="5253527" y="5760381"/>
          <a:ext cx="515779" cy="1196539"/>
        </a:xfrm>
        <a:prstGeom prst="curvedRightArrow">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solidFill>
              <a:schemeClr val="tx1"/>
            </a:solidFill>
          </a:endParaRPr>
        </a:p>
      </xdr:txBody>
    </xdr:sp>
    <xdr:clientData/>
  </xdr:twoCellAnchor>
  <xdr:twoCellAnchor>
    <xdr:from>
      <xdr:col>0</xdr:col>
      <xdr:colOff>123265</xdr:colOff>
      <xdr:row>5</xdr:row>
      <xdr:rowOff>246530</xdr:rowOff>
    </xdr:from>
    <xdr:to>
      <xdr:col>0</xdr:col>
      <xdr:colOff>549088</xdr:colOff>
      <xdr:row>9</xdr:row>
      <xdr:rowOff>212912</xdr:rowOff>
    </xdr:to>
    <xdr:sp macro="" textlink="">
      <xdr:nvSpPr>
        <xdr:cNvPr id="9" name="Ok: Sağa Bükülü 8">
          <a:extLst>
            <a:ext uri="{FF2B5EF4-FFF2-40B4-BE49-F238E27FC236}">
              <a16:creationId xmlns:a16="http://schemas.microsoft.com/office/drawing/2014/main" id="{E32C34A9-B8A1-4A70-8F5B-487F68F6D9A4}"/>
            </a:ext>
          </a:extLst>
        </xdr:cNvPr>
        <xdr:cNvSpPr/>
      </xdr:nvSpPr>
      <xdr:spPr>
        <a:xfrm>
          <a:off x="123265" y="1355912"/>
          <a:ext cx="425823" cy="1725706"/>
        </a:xfrm>
        <a:prstGeom prst="curvedRightArrow">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solidFill>
              <a:schemeClr val="tx1"/>
            </a:solidFill>
          </a:endParaRPr>
        </a:p>
      </xdr:txBody>
    </xdr:sp>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rlak">
      <a:fillStyleLst>
        <a:solidFill>
          <a:schemeClr val="phClr"/>
        </a:solidFill>
        <a:gradFill rotWithShape="1">
          <a:gsLst>
            <a:gs pos="0">
              <a:schemeClr val="phClr">
                <a:tint val="62000"/>
                <a:satMod val="180000"/>
              </a:schemeClr>
            </a:gs>
            <a:gs pos="65000">
              <a:schemeClr val="phClr">
                <a:tint val="32000"/>
                <a:satMod val="250000"/>
              </a:schemeClr>
            </a:gs>
            <a:gs pos="100000">
              <a:schemeClr val="phClr">
                <a:tint val="23000"/>
                <a:satMod val="300000"/>
              </a:schemeClr>
            </a:gs>
          </a:gsLst>
          <a:lin ang="16200000" scaled="0"/>
        </a:gradFill>
        <a:gradFill rotWithShape="1">
          <a:gsLst>
            <a:gs pos="0">
              <a:schemeClr val="phClr">
                <a:shade val="15000"/>
                <a:satMod val="180000"/>
              </a:schemeClr>
            </a:gs>
            <a:gs pos="50000">
              <a:schemeClr val="phClr">
                <a:shade val="45000"/>
                <a:satMod val="170000"/>
              </a:schemeClr>
            </a:gs>
            <a:gs pos="70000">
              <a:schemeClr val="phClr">
                <a:tint val="99000"/>
                <a:shade val="65000"/>
                <a:satMod val="155000"/>
              </a:schemeClr>
            </a:gs>
            <a:gs pos="100000">
              <a:schemeClr val="phClr">
                <a:tint val="95500"/>
                <a:shade val="100000"/>
                <a:satMod val="155000"/>
              </a:schemeClr>
            </a:gs>
          </a:gsLst>
          <a:lin ang="16200000" scaled="0"/>
        </a:gradFill>
      </a:fillStyleLst>
      <a:lnStyleLst>
        <a:ln w="12700" cap="flat" cmpd="sng" algn="ctr">
          <a:solidFill>
            <a:schemeClr val="phClr">
              <a:tint val="95000"/>
              <a:shade val="95000"/>
              <a:satMod val="120000"/>
            </a:schemeClr>
          </a:solidFill>
          <a:prstDash val="solid"/>
        </a:ln>
        <a:ln w="55000" cap="flat" cmpd="thickThin" algn="ctr">
          <a:solidFill>
            <a:schemeClr val="phClr">
              <a:tint val="90000"/>
              <a:satMod val="130000"/>
            </a:schemeClr>
          </a:solidFill>
          <a:prstDash val="solid"/>
        </a:ln>
        <a:ln w="50800" cap="flat" cmpd="sng" algn="ctr">
          <a:solidFill>
            <a:schemeClr val="phClr"/>
          </a:solidFill>
          <a:prstDash val="solid"/>
        </a:ln>
      </a:lnStyleLst>
      <a:effectStyleLst>
        <a:effectStyle>
          <a:effectLst>
            <a:outerShdw blurRad="50800" dist="38100" dir="5400000" rotWithShape="0">
              <a:srgbClr val="000000">
                <a:alpha val="35000"/>
              </a:srgbClr>
            </a:outerShdw>
          </a:effectLst>
        </a:effectStyle>
        <a:effectStyle>
          <a:effectLst>
            <a:outerShdw blurRad="50800" dist="38100" dir="5400000" rotWithShape="0">
              <a:srgbClr val="000000">
                <a:alpha val="35000"/>
              </a:srgbClr>
            </a:outerShdw>
          </a:effectLst>
        </a:effectStyle>
        <a:effectStyle>
          <a:effectLst>
            <a:outerShdw blurRad="63500" dist="38100" dir="5400000" rotWithShape="0">
              <a:srgbClr val="000000">
                <a:alpha val="45000"/>
              </a:srgbClr>
            </a:outerShdw>
          </a:effectLst>
          <a:scene3d>
            <a:camera prst="orthographicFront">
              <a:rot lat="0" lon="0" rev="0"/>
            </a:camera>
            <a:lightRig rig="glow" dir="t">
              <a:rot lat="0" lon="0" rev="6360000"/>
            </a:lightRig>
          </a:scene3d>
          <a:sp3d contourW="1000" prstMaterial="flat">
            <a:bevelT w="95250" h="101600"/>
            <a:contourClr>
              <a:schemeClr val="phClr">
                <a:satMod val="30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yad.com.tr/basvuru-formu"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46"/>
  <sheetViews>
    <sheetView topLeftCell="A30" zoomScale="70" zoomScaleNormal="70" workbookViewId="0">
      <selection activeCell="C12" sqref="C12:Q19"/>
    </sheetView>
  </sheetViews>
  <sheetFormatPr defaultRowHeight="15" x14ac:dyDescent="0.25"/>
  <cols>
    <col min="2" max="2" width="10.7109375" customWidth="1"/>
    <col min="3" max="3" width="35.5703125" customWidth="1"/>
    <col min="4" max="4" width="16.7109375" customWidth="1"/>
    <col min="5" max="5" width="15.7109375" customWidth="1"/>
    <col min="8" max="8" width="10" customWidth="1"/>
    <col min="9" max="9" width="13.5703125" customWidth="1"/>
    <col min="10" max="10" width="10.28515625" customWidth="1"/>
    <col min="12" max="12" width="13.85546875" customWidth="1"/>
    <col min="13" max="13" width="13.5703125" customWidth="1"/>
    <col min="14" max="14" width="14.140625" customWidth="1"/>
    <col min="15" max="15" width="12.7109375" customWidth="1"/>
    <col min="17" max="17" width="19.7109375" customWidth="1"/>
  </cols>
  <sheetData>
    <row r="2" spans="1:18" ht="14.45" customHeight="1" x14ac:dyDescent="0.25">
      <c r="D2" s="641" t="s">
        <v>324</v>
      </c>
      <c r="E2" s="641" t="s">
        <v>253</v>
      </c>
      <c r="H2" s="952" t="s">
        <v>380</v>
      </c>
      <c r="I2" s="953"/>
      <c r="J2" s="952" t="s">
        <v>385</v>
      </c>
      <c r="K2" s="953"/>
      <c r="L2" s="952" t="s">
        <v>386</v>
      </c>
      <c r="M2" s="953"/>
      <c r="N2" s="956" t="s">
        <v>360</v>
      </c>
      <c r="O2" s="916" t="s">
        <v>387</v>
      </c>
      <c r="P2" s="957" t="s">
        <v>179</v>
      </c>
      <c r="Q2" s="916" t="s">
        <v>399</v>
      </c>
    </row>
    <row r="3" spans="1:18" ht="18.75" x14ac:dyDescent="0.25">
      <c r="C3" s="696" t="s">
        <v>383</v>
      </c>
      <c r="D3" s="697">
        <v>59.2</v>
      </c>
      <c r="E3" s="697">
        <v>27.2</v>
      </c>
      <c r="H3" s="954"/>
      <c r="I3" s="955"/>
      <c r="J3" s="954"/>
      <c r="K3" s="955"/>
      <c r="L3" s="954"/>
      <c r="M3" s="955"/>
      <c r="N3" s="956"/>
      <c r="O3" s="916"/>
      <c r="P3" s="957"/>
      <c r="Q3" s="916"/>
    </row>
    <row r="4" spans="1:18" ht="18.75" x14ac:dyDescent="0.25">
      <c r="C4" s="695" t="s">
        <v>382</v>
      </c>
      <c r="D4" s="643">
        <v>105.7</v>
      </c>
      <c r="E4" s="643">
        <v>83.5</v>
      </c>
      <c r="H4" s="919">
        <f>L4/1.835</f>
        <v>57.602179836512263</v>
      </c>
      <c r="I4" s="949"/>
      <c r="J4" s="919">
        <f>D3</f>
        <v>59.2</v>
      </c>
      <c r="K4" s="949"/>
      <c r="L4" s="919">
        <f>D4</f>
        <v>105.7</v>
      </c>
      <c r="M4" s="949"/>
      <c r="N4" s="648">
        <f>O4/1.901</f>
        <v>102.47238295633878</v>
      </c>
      <c r="O4" s="648">
        <f>D5</f>
        <v>194.8</v>
      </c>
      <c r="P4" s="647">
        <f>(O4-N4)/N4</f>
        <v>0.90100000000000002</v>
      </c>
      <c r="Q4" s="648">
        <f>O4*0.97</f>
        <v>188.95600000000002</v>
      </c>
    </row>
    <row r="5" spans="1:18" ht="25.9" customHeight="1" x14ac:dyDescent="0.25">
      <c r="C5" s="595" t="s">
        <v>340</v>
      </c>
      <c r="D5" s="596">
        <v>194.8</v>
      </c>
      <c r="E5" s="694">
        <v>90.1</v>
      </c>
      <c r="H5" s="550">
        <f>H4*1.835</f>
        <v>105.7</v>
      </c>
      <c r="J5" s="950">
        <f>H4/J4</f>
        <v>0.97300979453568004</v>
      </c>
      <c r="K5" s="951" t="s">
        <v>410</v>
      </c>
      <c r="L5" s="950">
        <f>N4/L4</f>
        <v>0.96946436098712174</v>
      </c>
      <c r="N5" s="655" t="s">
        <v>411</v>
      </c>
      <c r="O5" s="733">
        <f>N4*E5/100</f>
        <v>92.327617043661235</v>
      </c>
    </row>
    <row r="6" spans="1:18" x14ac:dyDescent="0.25">
      <c r="A6" s="935" t="s">
        <v>408</v>
      </c>
      <c r="B6" s="936"/>
      <c r="C6" s="638" t="s">
        <v>393</v>
      </c>
      <c r="D6" s="639">
        <f>O4-N4</f>
        <v>92.327617043661235</v>
      </c>
      <c r="E6" s="645">
        <f>D6/N4</f>
        <v>0.90100000000000002</v>
      </c>
      <c r="J6" s="950"/>
      <c r="K6" s="951"/>
      <c r="L6" s="950"/>
      <c r="N6" s="644"/>
      <c r="O6" s="937" t="s">
        <v>339</v>
      </c>
      <c r="P6" s="938"/>
      <c r="Q6" s="938"/>
    </row>
    <row r="7" spans="1:18" x14ac:dyDescent="0.25">
      <c r="K7" s="636"/>
      <c r="L7" s="636"/>
      <c r="N7" s="47">
        <v>194.8</v>
      </c>
      <c r="O7" s="939" t="s">
        <v>381</v>
      </c>
      <c r="P7" s="939"/>
      <c r="Q7" s="939"/>
      <c r="R7" s="636"/>
    </row>
    <row r="8" spans="1:18" ht="29.45" customHeight="1" x14ac:dyDescent="0.25">
      <c r="C8" s="635" t="s">
        <v>329</v>
      </c>
      <c r="D8" s="606">
        <f>57.4</f>
        <v>57.4</v>
      </c>
      <c r="E8" s="640">
        <f>D8/E5</f>
        <v>0.63706992230854609</v>
      </c>
      <c r="F8" s="940" t="s">
        <v>325</v>
      </c>
      <c r="G8" s="940"/>
      <c r="H8" s="550"/>
      <c r="L8" s="636"/>
      <c r="N8" s="639">
        <v>93.84</v>
      </c>
      <c r="O8" s="941" t="s">
        <v>330</v>
      </c>
      <c r="P8" s="942"/>
      <c r="Q8" s="943"/>
      <c r="R8" s="636"/>
    </row>
    <row r="9" spans="1:18" ht="29.45" customHeight="1" thickBot="1" x14ac:dyDescent="0.3">
      <c r="C9" s="541" t="s">
        <v>333</v>
      </c>
      <c r="D9" s="634">
        <f>D6*D8/100</f>
        <v>52.996052183061551</v>
      </c>
      <c r="I9" s="645"/>
      <c r="J9" s="636"/>
      <c r="K9" s="636"/>
      <c r="L9" s="636"/>
      <c r="M9" s="636"/>
      <c r="N9" s="625">
        <f>N7-N8</f>
        <v>100.96000000000001</v>
      </c>
      <c r="O9" s="944" t="s">
        <v>412</v>
      </c>
      <c r="P9" s="945"/>
      <c r="Q9" s="946"/>
    </row>
    <row r="10" spans="1:18" ht="29.45" customHeight="1" thickBot="1" x14ac:dyDescent="0.3">
      <c r="C10" s="635" t="s">
        <v>377</v>
      </c>
      <c r="D10" s="606">
        <f>100-D8</f>
        <v>42.6</v>
      </c>
      <c r="E10" s="640">
        <f>1-E8</f>
        <v>0.36293007769145391</v>
      </c>
      <c r="F10" s="940" t="s">
        <v>326</v>
      </c>
      <c r="G10" s="940"/>
      <c r="H10" s="550"/>
      <c r="I10" s="645"/>
      <c r="J10" s="645"/>
      <c r="K10" s="636"/>
      <c r="L10" s="739" t="s">
        <v>415</v>
      </c>
      <c r="M10" s="738">
        <f>N8-D6</f>
        <v>1.5123829563387687</v>
      </c>
      <c r="N10" s="736">
        <f>N4-N9</f>
        <v>1.5123829563387687</v>
      </c>
      <c r="O10" s="947" t="s">
        <v>413</v>
      </c>
      <c r="P10" s="947"/>
      <c r="Q10" s="947"/>
      <c r="R10" s="636"/>
    </row>
    <row r="11" spans="1:18" ht="29.45" customHeight="1" x14ac:dyDescent="0.25">
      <c r="A11" s="646"/>
      <c r="C11" s="541" t="s">
        <v>359</v>
      </c>
      <c r="D11" s="634">
        <f>(D6*D10)/100</f>
        <v>39.331564860599684</v>
      </c>
      <c r="E11" s="597" t="s">
        <v>409</v>
      </c>
      <c r="G11" s="645"/>
      <c r="I11" s="645"/>
      <c r="J11" s="645"/>
      <c r="M11" s="737">
        <f>N10/L4</f>
        <v>1.4308258811152021E-2</v>
      </c>
      <c r="N11" s="654">
        <f>N10/N4</f>
        <v>1.4758932238193015E-2</v>
      </c>
      <c r="O11" s="947" t="s">
        <v>414</v>
      </c>
      <c r="P11" s="947"/>
      <c r="Q11" s="947"/>
    </row>
    <row r="12" spans="1:18" ht="29.45" customHeight="1" x14ac:dyDescent="0.25">
      <c r="A12" s="646"/>
      <c r="C12" s="734"/>
      <c r="D12" s="735"/>
      <c r="E12" s="597"/>
      <c r="G12" s="645"/>
      <c r="I12" s="645"/>
      <c r="J12" s="645"/>
      <c r="M12" s="755"/>
      <c r="N12" s="755"/>
      <c r="O12" s="756"/>
      <c r="P12" s="756"/>
      <c r="Q12" s="756"/>
    </row>
    <row r="13" spans="1:18" ht="29.45" customHeight="1" x14ac:dyDescent="0.25">
      <c r="A13" s="646"/>
      <c r="C13" s="734"/>
      <c r="D13" s="735"/>
      <c r="E13" s="597"/>
      <c r="G13" s="645"/>
      <c r="I13" s="645"/>
      <c r="J13" s="645"/>
      <c r="M13" s="755"/>
      <c r="N13" s="755"/>
      <c r="O13" s="756"/>
      <c r="P13" s="756"/>
      <c r="Q13" s="756"/>
    </row>
    <row r="14" spans="1:18" ht="29.45" customHeight="1" x14ac:dyDescent="0.25">
      <c r="A14" s="646"/>
      <c r="C14" s="734"/>
      <c r="D14" s="735"/>
      <c r="E14" s="597"/>
      <c r="G14" s="645"/>
      <c r="I14" s="645"/>
      <c r="J14" s="645"/>
      <c r="M14" s="755"/>
      <c r="N14" s="755"/>
      <c r="O14" s="756"/>
      <c r="P14" s="756"/>
      <c r="Q14" s="756"/>
    </row>
    <row r="15" spans="1:18" ht="29.45" customHeight="1" x14ac:dyDescent="0.25">
      <c r="A15" s="646"/>
      <c r="C15" s="734"/>
      <c r="D15" s="735"/>
      <c r="E15" s="597"/>
      <c r="G15" s="645"/>
      <c r="I15" s="645"/>
      <c r="J15" s="645"/>
      <c r="M15" s="755"/>
      <c r="N15" s="755"/>
      <c r="O15" s="756"/>
      <c r="P15" s="756"/>
      <c r="Q15" s="756"/>
    </row>
    <row r="16" spans="1:18" ht="29.45" customHeight="1" x14ac:dyDescent="0.25">
      <c r="A16" s="646"/>
      <c r="C16" s="734"/>
      <c r="D16" s="735"/>
      <c r="E16" s="597"/>
      <c r="G16" s="645"/>
      <c r="I16" s="645"/>
      <c r="J16" s="645"/>
      <c r="M16" s="755"/>
      <c r="N16" s="755"/>
      <c r="O16" s="756"/>
      <c r="P16" s="756"/>
      <c r="Q16" s="756"/>
    </row>
    <row r="17" spans="1:18" ht="29.45" customHeight="1" x14ac:dyDescent="0.25">
      <c r="A17" s="646"/>
      <c r="C17" s="734"/>
      <c r="D17" s="735"/>
      <c r="E17" s="597"/>
      <c r="G17" s="645"/>
      <c r="I17" s="645"/>
      <c r="J17" s="645"/>
      <c r="M17" s="755"/>
      <c r="N17" s="755"/>
      <c r="O17" s="756"/>
      <c r="P17" s="756"/>
      <c r="Q17" s="756"/>
    </row>
    <row r="18" spans="1:18" ht="29.45" customHeight="1" x14ac:dyDescent="0.25">
      <c r="A18" s="646"/>
      <c r="C18" s="734"/>
      <c r="D18" s="735"/>
      <c r="E18" s="597"/>
      <c r="G18" s="645"/>
      <c r="I18" s="645"/>
      <c r="J18" s="645"/>
      <c r="M18" s="755"/>
      <c r="N18" s="755"/>
      <c r="O18" s="756"/>
      <c r="P18" s="756"/>
      <c r="Q18" s="756"/>
    </row>
    <row r="19" spans="1:18" ht="29.45" customHeight="1" x14ac:dyDescent="0.25">
      <c r="A19" s="646"/>
      <c r="C19" s="734"/>
      <c r="D19" s="735"/>
      <c r="E19" s="597"/>
      <c r="G19" s="645"/>
      <c r="I19" s="645"/>
      <c r="J19" s="645"/>
      <c r="M19" s="755"/>
      <c r="N19" s="755"/>
      <c r="O19" s="756"/>
      <c r="P19" s="756"/>
      <c r="Q19" s="756"/>
    </row>
    <row r="20" spans="1:18" ht="29.45" customHeight="1" thickBot="1" x14ac:dyDescent="0.3">
      <c r="A20" s="646"/>
      <c r="C20" s="597"/>
      <c r="D20" s="597"/>
      <c r="E20" s="597"/>
      <c r="G20" s="645"/>
      <c r="I20" s="645"/>
      <c r="J20" s="645"/>
    </row>
    <row r="21" spans="1:18" ht="29.45" customHeight="1" thickBot="1" x14ac:dyDescent="0.3">
      <c r="A21" s="646"/>
      <c r="E21" s="636"/>
      <c r="G21" s="645"/>
      <c r="I21" s="645"/>
      <c r="J21" s="645"/>
      <c r="K21" s="948" t="s">
        <v>356</v>
      </c>
      <c r="L21" s="948"/>
      <c r="M21" s="679" t="s">
        <v>403</v>
      </c>
      <c r="N21" s="725">
        <f>H29</f>
        <v>0.74531926672720039</v>
      </c>
      <c r="O21" s="904" t="s">
        <v>404</v>
      </c>
      <c r="P21" s="904"/>
      <c r="Q21" s="727">
        <f>H30</f>
        <v>1.2539068505545623</v>
      </c>
    </row>
    <row r="22" spans="1:18" ht="12.6" customHeight="1" thickBot="1" x14ac:dyDescent="0.3">
      <c r="A22" s="646"/>
      <c r="D22" s="636"/>
      <c r="E22" s="636"/>
      <c r="G22" s="645"/>
      <c r="I22" s="645"/>
      <c r="J22" s="645"/>
      <c r="K22" s="636"/>
    </row>
    <row r="23" spans="1:18" ht="43.15" customHeight="1" thickBot="1" x14ac:dyDescent="0.3">
      <c r="K23" s="558" t="s">
        <v>353</v>
      </c>
      <c r="L23" s="730" t="s">
        <v>348</v>
      </c>
      <c r="M23" s="934" t="s">
        <v>407</v>
      </c>
      <c r="N23" s="934"/>
      <c r="O23" s="721" t="s">
        <v>344</v>
      </c>
      <c r="P23" s="663" t="s">
        <v>345</v>
      </c>
      <c r="Q23" s="731" t="s">
        <v>253</v>
      </c>
    </row>
    <row r="24" spans="1:18" ht="18" customHeight="1" x14ac:dyDescent="0.25">
      <c r="F24" s="930" t="s">
        <v>343</v>
      </c>
      <c r="G24" s="931"/>
      <c r="K24" s="706">
        <f>D25</f>
        <v>124.10122086570479</v>
      </c>
      <c r="L24" s="704" t="s">
        <v>342</v>
      </c>
      <c r="M24" s="900">
        <f>D25*N26</f>
        <v>101.76300110987792</v>
      </c>
      <c r="N24" s="900"/>
      <c r="O24" s="703">
        <f>D25+M24</f>
        <v>225.86422197558272</v>
      </c>
      <c r="P24" s="900">
        <f>O24+O25</f>
        <v>392.00635294117649</v>
      </c>
      <c r="Q24" s="902">
        <f>(P24-Q4)/Q4</f>
        <v>1.0745906610066707</v>
      </c>
    </row>
    <row r="25" spans="1:18" ht="36.6" customHeight="1" thickBot="1" x14ac:dyDescent="0.3">
      <c r="A25" s="926" t="s">
        <v>366</v>
      </c>
      <c r="B25" s="689">
        <f>D25/E25</f>
        <v>0.63706992230854609</v>
      </c>
      <c r="C25" s="683" t="s">
        <v>375</v>
      </c>
      <c r="D25" s="596">
        <f>E25*E8</f>
        <v>124.10122086570479</v>
      </c>
      <c r="E25" s="933">
        <f>O4</f>
        <v>194.8</v>
      </c>
      <c r="F25" s="659"/>
      <c r="G25" s="660" t="s">
        <v>342</v>
      </c>
      <c r="K25" s="707">
        <f>D26</f>
        <v>70.698779134295222</v>
      </c>
      <c r="L25" s="732" t="s">
        <v>404</v>
      </c>
      <c r="M25" s="903">
        <f>D26*Q26</f>
        <v>95.443351831298557</v>
      </c>
      <c r="N25" s="903"/>
      <c r="O25" s="705">
        <f>D26+M25</f>
        <v>166.14213096559376</v>
      </c>
      <c r="P25" s="901"/>
      <c r="Q25" s="932"/>
    </row>
    <row r="26" spans="1:18" ht="42.6" customHeight="1" thickBot="1" x14ac:dyDescent="0.3">
      <c r="A26" s="927"/>
      <c r="B26" s="689">
        <f>D26/E25</f>
        <v>0.36293007769145391</v>
      </c>
      <c r="C26" s="683" t="s">
        <v>376</v>
      </c>
      <c r="D26" s="596">
        <f>E25*E10</f>
        <v>70.698779134295222</v>
      </c>
      <c r="E26" s="933"/>
      <c r="F26" s="659"/>
      <c r="G26" s="659" t="s">
        <v>341</v>
      </c>
      <c r="L26" s="668" t="s">
        <v>346</v>
      </c>
      <c r="M26" s="679" t="s">
        <v>403</v>
      </c>
      <c r="N26" s="724">
        <v>0.82</v>
      </c>
      <c r="O26" s="904" t="s">
        <v>404</v>
      </c>
      <c r="P26" s="904"/>
      <c r="Q26" s="715">
        <v>1.35</v>
      </c>
    </row>
    <row r="27" spans="1:18" ht="18" customHeight="1" thickBot="1" x14ac:dyDescent="0.3">
      <c r="A27" s="646"/>
      <c r="B27" s="646"/>
      <c r="C27" s="646"/>
      <c r="D27" s="646"/>
      <c r="E27" s="646"/>
      <c r="F27" s="646"/>
      <c r="G27" s="646"/>
      <c r="L27" s="550"/>
      <c r="R27" s="645"/>
    </row>
    <row r="28" spans="1:18" ht="31.9" customHeight="1" x14ac:dyDescent="0.25">
      <c r="E28" s="740" t="s">
        <v>416</v>
      </c>
      <c r="F28" s="636"/>
      <c r="H28" s="906" t="s">
        <v>373</v>
      </c>
      <c r="I28" s="907"/>
      <c r="K28" s="558" t="s">
        <v>353</v>
      </c>
      <c r="L28" s="702" t="s">
        <v>396</v>
      </c>
      <c r="M28" s="912" t="s">
        <v>406</v>
      </c>
      <c r="N28" s="912"/>
      <c r="O28" s="721" t="s">
        <v>344</v>
      </c>
      <c r="P28" s="663" t="s">
        <v>345</v>
      </c>
      <c r="Q28" s="731" t="s">
        <v>253</v>
      </c>
    </row>
    <row r="29" spans="1:18" ht="33" customHeight="1" x14ac:dyDescent="0.25">
      <c r="A29" s="926" t="s">
        <v>366</v>
      </c>
      <c r="B29" s="689">
        <f>D29/E29</f>
        <v>0.69389592230854613</v>
      </c>
      <c r="C29" s="682" t="s">
        <v>365</v>
      </c>
      <c r="D29" s="681">
        <f>D25-D9</f>
        <v>71.105168682643239</v>
      </c>
      <c r="E29" s="928">
        <f>N4</f>
        <v>102.47238295633878</v>
      </c>
      <c r="F29" s="920" t="s">
        <v>391</v>
      </c>
      <c r="G29" s="921"/>
      <c r="H29" s="692">
        <f>D9/D29</f>
        <v>0.74531926672720039</v>
      </c>
      <c r="I29" s="657" t="s">
        <v>342</v>
      </c>
      <c r="K29" s="706">
        <f>D25</f>
        <v>124.10122086570479</v>
      </c>
      <c r="L29" s="708" t="s">
        <v>342</v>
      </c>
      <c r="M29" s="900">
        <f>D25*N31</f>
        <v>124.10122086570479</v>
      </c>
      <c r="N29" s="900"/>
      <c r="O29" s="703">
        <f>D25+M29</f>
        <v>248.20244173140958</v>
      </c>
      <c r="P29" s="900">
        <f>O29+O30</f>
        <v>435.5542064372919</v>
      </c>
      <c r="Q29" s="902">
        <f>(P29-Q4)/Q4</f>
        <v>1.3050562376282937</v>
      </c>
    </row>
    <row r="30" spans="1:18" ht="31.15" customHeight="1" thickBot="1" x14ac:dyDescent="0.3">
      <c r="A30" s="927"/>
      <c r="B30" s="689">
        <f>D30/E29</f>
        <v>0.30610407769145387</v>
      </c>
      <c r="C30" s="684" t="s">
        <v>364</v>
      </c>
      <c r="D30" s="681">
        <f>D26-D11</f>
        <v>31.367214273695538</v>
      </c>
      <c r="E30" s="929"/>
      <c r="F30" s="920" t="s">
        <v>392</v>
      </c>
      <c r="G30" s="921"/>
      <c r="H30" s="693">
        <f>D11/D30</f>
        <v>1.2539068505545623</v>
      </c>
      <c r="I30" s="658" t="s">
        <v>341</v>
      </c>
      <c r="K30" s="707">
        <f>D26</f>
        <v>70.698779134295222</v>
      </c>
      <c r="L30" s="732" t="s">
        <v>404</v>
      </c>
      <c r="M30" s="900">
        <f>D26*Q31</f>
        <v>116.65298557158711</v>
      </c>
      <c r="N30" s="900"/>
      <c r="O30" s="703">
        <f>D26+M30</f>
        <v>187.35176470588232</v>
      </c>
      <c r="P30" s="915"/>
      <c r="Q30" s="902"/>
    </row>
    <row r="31" spans="1:18" ht="25.15" customHeight="1" thickBot="1" x14ac:dyDescent="0.3">
      <c r="D31" s="550"/>
      <c r="E31" s="550"/>
      <c r="F31" s="636"/>
      <c r="H31" s="922">
        <v>0.90100000000000002</v>
      </c>
      <c r="I31" s="924" t="s">
        <v>374</v>
      </c>
      <c r="L31" s="667" t="s">
        <v>346</v>
      </c>
      <c r="M31" s="679" t="s">
        <v>403</v>
      </c>
      <c r="N31" s="725">
        <v>1</v>
      </c>
      <c r="O31" s="904" t="s">
        <v>404</v>
      </c>
      <c r="P31" s="904"/>
      <c r="Q31" s="726">
        <v>1.65</v>
      </c>
    </row>
    <row r="32" spans="1:18" ht="15" customHeight="1" thickBot="1" x14ac:dyDescent="0.3">
      <c r="A32" s="916" t="s">
        <v>379</v>
      </c>
      <c r="B32" s="916"/>
      <c r="C32" s="652" t="s">
        <v>417</v>
      </c>
      <c r="D32" s="653">
        <f>D37</f>
        <v>48.097820163487739</v>
      </c>
      <c r="E32" s="597">
        <f>E33-D32</f>
        <v>0.6151798365122616</v>
      </c>
      <c r="H32" s="923"/>
      <c r="I32" s="925"/>
      <c r="J32" s="637"/>
      <c r="L32" s="550"/>
    </row>
    <row r="33" spans="1:17" ht="31.15" customHeight="1" x14ac:dyDescent="0.25">
      <c r="A33" s="916"/>
      <c r="B33" s="916"/>
      <c r="C33" s="690" t="s">
        <v>388</v>
      </c>
      <c r="D33" s="651">
        <v>41.2102</v>
      </c>
      <c r="E33" s="917">
        <f>D33+D34</f>
        <v>48.713000000000001</v>
      </c>
      <c r="I33" s="549"/>
      <c r="J33" s="549"/>
      <c r="K33" s="558" t="s">
        <v>353</v>
      </c>
      <c r="L33" s="729" t="s">
        <v>397</v>
      </c>
      <c r="M33" s="912" t="s">
        <v>406</v>
      </c>
      <c r="N33" s="912"/>
      <c r="O33" s="721" t="s">
        <v>344</v>
      </c>
      <c r="P33" s="663" t="s">
        <v>345</v>
      </c>
      <c r="Q33" s="731" t="s">
        <v>253</v>
      </c>
    </row>
    <row r="34" spans="1:17" ht="28.15" customHeight="1" x14ac:dyDescent="0.25">
      <c r="A34" s="916"/>
      <c r="B34" s="916"/>
      <c r="C34" s="690" t="s">
        <v>389</v>
      </c>
      <c r="D34" s="651">
        <f>4.0965+3.3733+0.033</f>
        <v>7.5027999999999997</v>
      </c>
      <c r="E34" s="918"/>
      <c r="F34" s="636"/>
      <c r="K34" s="706">
        <f>D25</f>
        <v>124.10122086570479</v>
      </c>
      <c r="L34" s="708" t="s">
        <v>342</v>
      </c>
      <c r="M34" s="900">
        <f>D25*N36</f>
        <v>148.92146503884575</v>
      </c>
      <c r="N34" s="900"/>
      <c r="O34" s="703">
        <f>D25+M34</f>
        <v>273.02268590455054</v>
      </c>
      <c r="P34" s="900">
        <f>O34+O35</f>
        <v>488.65396226415095</v>
      </c>
      <c r="Q34" s="905">
        <f>(P34-Q4)/Q4</f>
        <v>1.586072748492511</v>
      </c>
    </row>
    <row r="35" spans="1:17" ht="31.9" customHeight="1" thickBot="1" x14ac:dyDescent="0.3">
      <c r="C35" s="649" t="s">
        <v>378</v>
      </c>
      <c r="D35" s="650">
        <f>H4</f>
        <v>57.602179836512263</v>
      </c>
      <c r="E35" s="687">
        <f>D35+D32</f>
        <v>105.7</v>
      </c>
      <c r="F35" s="919" t="s">
        <v>390</v>
      </c>
      <c r="G35" s="919"/>
      <c r="H35" s="919"/>
      <c r="K35" s="707">
        <f>D26</f>
        <v>70.698779134295222</v>
      </c>
      <c r="L35" s="732" t="s">
        <v>404</v>
      </c>
      <c r="M35" s="900">
        <f>D26*Q36</f>
        <v>144.93249722530518</v>
      </c>
      <c r="N35" s="900"/>
      <c r="O35" s="703">
        <f>D26+M35</f>
        <v>215.63127635960041</v>
      </c>
      <c r="P35" s="915"/>
      <c r="Q35" s="905"/>
    </row>
    <row r="36" spans="1:17" ht="45" customHeight="1" thickBot="1" x14ac:dyDescent="0.3">
      <c r="C36" s="684" t="s">
        <v>384</v>
      </c>
      <c r="D36" s="685">
        <f>D35*1.835</f>
        <v>105.7</v>
      </c>
      <c r="E36" s="686">
        <f>E35-D36</f>
        <v>0</v>
      </c>
      <c r="F36" s="913" t="s">
        <v>362</v>
      </c>
      <c r="G36" s="913"/>
      <c r="H36" s="913"/>
      <c r="L36" s="667" t="s">
        <v>346</v>
      </c>
      <c r="M36" s="679" t="s">
        <v>403</v>
      </c>
      <c r="N36" s="725">
        <v>1.2</v>
      </c>
      <c r="O36" s="904" t="s">
        <v>404</v>
      </c>
      <c r="P36" s="904"/>
      <c r="Q36" s="726">
        <v>2.0499999999999998</v>
      </c>
    </row>
    <row r="37" spans="1:17" ht="15.75" thickBot="1" x14ac:dyDescent="0.3">
      <c r="B37" s="741" t="s">
        <v>418</v>
      </c>
      <c r="C37" s="691" t="s">
        <v>371</v>
      </c>
      <c r="D37" s="653">
        <f>D35*0.835</f>
        <v>48.097820163487739</v>
      </c>
      <c r="E37" s="742">
        <f>D37/D35</f>
        <v>0.83499999999999996</v>
      </c>
    </row>
    <row r="38" spans="1:17" ht="34.15" customHeight="1" x14ac:dyDescent="0.25">
      <c r="C38" s="539" t="s">
        <v>363</v>
      </c>
      <c r="D38" s="686">
        <f>D32-D37</f>
        <v>0</v>
      </c>
      <c r="E38" s="688">
        <f>E36/E35</f>
        <v>0</v>
      </c>
      <c r="F38" s="914" t="s">
        <v>337</v>
      </c>
      <c r="G38" s="914"/>
      <c r="H38" s="914"/>
      <c r="K38" s="558" t="s">
        <v>353</v>
      </c>
      <c r="L38" s="702" t="s">
        <v>398</v>
      </c>
      <c r="M38" s="912" t="s">
        <v>406</v>
      </c>
      <c r="N38" s="912"/>
      <c r="O38" s="721" t="s">
        <v>344</v>
      </c>
      <c r="P38" s="663" t="s">
        <v>345</v>
      </c>
      <c r="Q38" s="731" t="s">
        <v>253</v>
      </c>
    </row>
    <row r="39" spans="1:17" ht="19.149999999999999" customHeight="1" thickBot="1" x14ac:dyDescent="0.3">
      <c r="K39" s="706">
        <f>D25</f>
        <v>124.10122086570479</v>
      </c>
      <c r="L39" s="708" t="s">
        <v>342</v>
      </c>
      <c r="M39" s="900">
        <f>D25*N41</f>
        <v>186.15183129855717</v>
      </c>
      <c r="N39" s="900"/>
      <c r="O39" s="703">
        <f>D25+M39</f>
        <v>310.25305216426193</v>
      </c>
      <c r="P39" s="900">
        <f>O39+O40</f>
        <v>568.30359600443944</v>
      </c>
      <c r="Q39" s="905">
        <f>(P39-Q4)/Q4</f>
        <v>2.0075975147888365</v>
      </c>
    </row>
    <row r="40" spans="1:17" ht="29.45" customHeight="1" thickBot="1" x14ac:dyDescent="0.3">
      <c r="C40" s="635" t="s">
        <v>329</v>
      </c>
      <c r="D40" s="699">
        <f>57.4</f>
        <v>57.4</v>
      </c>
      <c r="E40" s="906" t="s">
        <v>373</v>
      </c>
      <c r="F40" s="907"/>
      <c r="K40" s="707">
        <f>D26</f>
        <v>70.698779134295222</v>
      </c>
      <c r="L40" s="732" t="s">
        <v>404</v>
      </c>
      <c r="M40" s="900">
        <f>D26*Q41</f>
        <v>187.35176470588235</v>
      </c>
      <c r="N40" s="900"/>
      <c r="O40" s="703">
        <f>D26+M40</f>
        <v>258.05054384017757</v>
      </c>
      <c r="P40" s="915"/>
      <c r="Q40" s="905"/>
    </row>
    <row r="41" spans="1:17" ht="20.45" customHeight="1" thickBot="1" x14ac:dyDescent="0.3">
      <c r="C41" s="541" t="s">
        <v>333</v>
      </c>
      <c r="D41" s="700">
        <f>D9</f>
        <v>52.996052183061551</v>
      </c>
      <c r="E41" s="908">
        <f>H29</f>
        <v>0.74531926672720039</v>
      </c>
      <c r="F41" s="909"/>
      <c r="L41" s="667" t="s">
        <v>346</v>
      </c>
      <c r="M41" s="679" t="s">
        <v>403</v>
      </c>
      <c r="N41" s="725">
        <v>1.5</v>
      </c>
      <c r="O41" s="904" t="s">
        <v>404</v>
      </c>
      <c r="P41" s="904"/>
      <c r="Q41" s="726">
        <v>2.65</v>
      </c>
    </row>
    <row r="42" spans="1:17" ht="13.15" customHeight="1" thickBot="1" x14ac:dyDescent="0.3">
      <c r="C42" s="635" t="s">
        <v>377</v>
      </c>
      <c r="D42" s="606">
        <f>100-D40</f>
        <v>42.6</v>
      </c>
    </row>
    <row r="43" spans="1:17" ht="36.75" thickBot="1" x14ac:dyDescent="0.3">
      <c r="C43" s="541" t="s">
        <v>359</v>
      </c>
      <c r="D43" s="700">
        <f>D11</f>
        <v>39.331564860599684</v>
      </c>
      <c r="E43" s="910">
        <f>H30</f>
        <v>1.2539068505545623</v>
      </c>
      <c r="F43" s="911"/>
      <c r="K43" s="558" t="s">
        <v>353</v>
      </c>
      <c r="L43" s="728" t="s">
        <v>394</v>
      </c>
      <c r="M43" s="912" t="s">
        <v>405</v>
      </c>
      <c r="N43" s="912"/>
      <c r="O43" s="721" t="s">
        <v>344</v>
      </c>
      <c r="P43" s="663" t="s">
        <v>345</v>
      </c>
      <c r="Q43" s="731" t="s">
        <v>253</v>
      </c>
    </row>
    <row r="44" spans="1:17" ht="24.6" customHeight="1" x14ac:dyDescent="0.25">
      <c r="D44" s="636"/>
      <c r="K44" s="706">
        <f>D25</f>
        <v>124.10122086570479</v>
      </c>
      <c r="L44" s="704" t="s">
        <v>342</v>
      </c>
      <c r="M44" s="900">
        <f>D25*N46</f>
        <v>92.495030935577432</v>
      </c>
      <c r="N44" s="900"/>
      <c r="O44" s="703">
        <f>D25+M44</f>
        <v>216.59625180128222</v>
      </c>
      <c r="P44" s="900">
        <f>O44+O45</f>
        <v>375.94471441791416</v>
      </c>
      <c r="Q44" s="902">
        <f>(P44-Q4)/Q4</f>
        <v>0.98958865777172533</v>
      </c>
    </row>
    <row r="45" spans="1:17" ht="29.45" customHeight="1" thickBot="1" x14ac:dyDescent="0.3">
      <c r="K45" s="707">
        <f>D26</f>
        <v>70.698779134295222</v>
      </c>
      <c r="L45" s="732" t="s">
        <v>404</v>
      </c>
      <c r="M45" s="903">
        <f>D26*Q46</f>
        <v>88.649683482336727</v>
      </c>
      <c r="N45" s="903"/>
      <c r="O45" s="705">
        <f>D26+M45</f>
        <v>159.34846261663193</v>
      </c>
      <c r="P45" s="901"/>
      <c r="Q45" s="902"/>
    </row>
    <row r="46" spans="1:17" ht="19.5" thickBot="1" x14ac:dyDescent="0.3">
      <c r="L46" s="668" t="s">
        <v>346</v>
      </c>
      <c r="M46" s="679" t="s">
        <v>403</v>
      </c>
      <c r="N46" s="725">
        <f>N21</f>
        <v>0.74531926672720039</v>
      </c>
      <c r="O46" s="904" t="s">
        <v>404</v>
      </c>
      <c r="P46" s="904"/>
      <c r="Q46" s="727">
        <f>Q21</f>
        <v>1.2539068505545623</v>
      </c>
    </row>
  </sheetData>
  <mergeCells count="72">
    <mergeCell ref="Q2:Q3"/>
    <mergeCell ref="H4:I4"/>
    <mergeCell ref="J4:K4"/>
    <mergeCell ref="L4:M4"/>
    <mergeCell ref="J5:J6"/>
    <mergeCell ref="K5:K6"/>
    <mergeCell ref="L5:L6"/>
    <mergeCell ref="H2:I3"/>
    <mergeCell ref="J2:K3"/>
    <mergeCell ref="L2:M3"/>
    <mergeCell ref="N2:N3"/>
    <mergeCell ref="O2:O3"/>
    <mergeCell ref="P2:P3"/>
    <mergeCell ref="M23:N23"/>
    <mergeCell ref="A6:B6"/>
    <mergeCell ref="O6:Q6"/>
    <mergeCell ref="O7:Q7"/>
    <mergeCell ref="F8:G8"/>
    <mergeCell ref="O8:Q8"/>
    <mergeCell ref="O9:Q9"/>
    <mergeCell ref="F10:G10"/>
    <mergeCell ref="O10:Q10"/>
    <mergeCell ref="O11:Q11"/>
    <mergeCell ref="K21:L21"/>
    <mergeCell ref="O21:P21"/>
    <mergeCell ref="F24:G24"/>
    <mergeCell ref="M24:N24"/>
    <mergeCell ref="P24:P25"/>
    <mergeCell ref="Q24:Q25"/>
    <mergeCell ref="A25:A26"/>
    <mergeCell ref="E25:E26"/>
    <mergeCell ref="M25:N25"/>
    <mergeCell ref="O26:P26"/>
    <mergeCell ref="H28:I28"/>
    <mergeCell ref="M28:N28"/>
    <mergeCell ref="A29:A30"/>
    <mergeCell ref="E29:E30"/>
    <mergeCell ref="F29:G29"/>
    <mergeCell ref="M29:N29"/>
    <mergeCell ref="Q34:Q35"/>
    <mergeCell ref="F35:H35"/>
    <mergeCell ref="M35:N35"/>
    <mergeCell ref="P29:P30"/>
    <mergeCell ref="Q29:Q30"/>
    <mergeCell ref="F30:G30"/>
    <mergeCell ref="M30:N30"/>
    <mergeCell ref="H31:H32"/>
    <mergeCell ref="I31:I32"/>
    <mergeCell ref="O31:P31"/>
    <mergeCell ref="A32:B34"/>
    <mergeCell ref="E33:E34"/>
    <mergeCell ref="M33:N33"/>
    <mergeCell ref="M34:N34"/>
    <mergeCell ref="P34:P35"/>
    <mergeCell ref="E43:F43"/>
    <mergeCell ref="M43:N43"/>
    <mergeCell ref="F36:H36"/>
    <mergeCell ref="O36:P36"/>
    <mergeCell ref="F38:H38"/>
    <mergeCell ref="M38:N38"/>
    <mergeCell ref="M39:N39"/>
    <mergeCell ref="P39:P40"/>
    <mergeCell ref="Q39:Q40"/>
    <mergeCell ref="E40:F40"/>
    <mergeCell ref="M40:N40"/>
    <mergeCell ref="E41:F41"/>
    <mergeCell ref="O41:P41"/>
    <mergeCell ref="M44:N44"/>
    <mergeCell ref="P44:P45"/>
    <mergeCell ref="Q44:Q45"/>
    <mergeCell ref="M45:N45"/>
    <mergeCell ref="O46:P4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AH26"/>
  <sheetViews>
    <sheetView topLeftCell="B1" zoomScale="60" zoomScaleNormal="60" workbookViewId="0">
      <selection activeCell="E25" sqref="E25"/>
    </sheetView>
  </sheetViews>
  <sheetFormatPr defaultRowHeight="15" x14ac:dyDescent="0.25"/>
  <cols>
    <col min="4" max="4" width="15.7109375" customWidth="1"/>
    <col min="8" max="8" width="15.28515625" customWidth="1"/>
    <col min="9" max="9" width="14.28515625" customWidth="1"/>
    <col min="10" max="10" width="12.28515625" customWidth="1"/>
    <col min="11" max="13" width="16.42578125" customWidth="1"/>
  </cols>
  <sheetData>
    <row r="4" spans="3:16" ht="84" x14ac:dyDescent="0.25">
      <c r="C4" s="602" t="s">
        <v>97</v>
      </c>
      <c r="D4" s="781" t="s">
        <v>315</v>
      </c>
      <c r="E4" s="791" t="s">
        <v>470</v>
      </c>
      <c r="F4" s="602" t="s">
        <v>97</v>
      </c>
      <c r="G4" s="791" t="s">
        <v>467</v>
      </c>
      <c r="I4" s="783" t="s">
        <v>465</v>
      </c>
      <c r="J4" s="785" t="s">
        <v>464</v>
      </c>
      <c r="L4" s="602" t="s">
        <v>97</v>
      </c>
      <c r="O4" s="603" t="s">
        <v>466</v>
      </c>
      <c r="P4" s="782" t="s">
        <v>463</v>
      </c>
    </row>
    <row r="5" spans="3:16" ht="18.75" x14ac:dyDescent="0.25">
      <c r="C5" s="265">
        <v>2003</v>
      </c>
      <c r="D5" s="594">
        <f t="shared" ref="D5:D26" si="0">O5/P5</f>
        <v>2.1304347826086958</v>
      </c>
      <c r="E5" s="792">
        <f>(1.392/1.184)-1</f>
        <v>0.17567567567567566</v>
      </c>
      <c r="F5" s="265">
        <v>2003</v>
      </c>
      <c r="G5" s="792">
        <f>(1.392/1.184)-1</f>
        <v>0.17567567567567566</v>
      </c>
      <c r="I5" s="784">
        <f>D5*P26</f>
        <v>94.548695652173919</v>
      </c>
      <c r="J5" s="786">
        <v>74.900000000000006</v>
      </c>
      <c r="L5" s="265">
        <v>2003</v>
      </c>
      <c r="O5" s="540">
        <v>39.200000000000003</v>
      </c>
      <c r="P5" s="265">
        <v>18.399999999999999</v>
      </c>
    </row>
    <row r="6" spans="3:16" ht="18.75" x14ac:dyDescent="0.25">
      <c r="C6" s="265">
        <v>2004</v>
      </c>
      <c r="D6" s="594">
        <f t="shared" si="0"/>
        <v>4.333333333333333</v>
      </c>
      <c r="E6" s="792">
        <f>(1.403/1.093)-1</f>
        <v>0.28362305580969815</v>
      </c>
      <c r="F6" s="265">
        <v>2004</v>
      </c>
      <c r="G6" s="792">
        <f>(1.403/1.093)-1</f>
        <v>0.28362305580969815</v>
      </c>
      <c r="I6" s="784">
        <f>D6*P26</f>
        <v>192.31333333333333</v>
      </c>
      <c r="J6" s="786">
        <v>247.5</v>
      </c>
      <c r="L6" s="265">
        <v>2004</v>
      </c>
      <c r="O6" s="540">
        <v>40.299999999999997</v>
      </c>
      <c r="P6" s="265">
        <v>9.3000000000000007</v>
      </c>
    </row>
    <row r="7" spans="3:16" ht="18.75" x14ac:dyDescent="0.25">
      <c r="C7" s="265">
        <v>2005</v>
      </c>
      <c r="D7" s="594">
        <f t="shared" si="0"/>
        <v>3.4805194805194803</v>
      </c>
      <c r="E7" s="792">
        <f>(1.268/1.077)-1</f>
        <v>0.17734447539461473</v>
      </c>
      <c r="F7" s="265">
        <v>2005</v>
      </c>
      <c r="G7" s="792">
        <f>(1.268/1.077)-1</f>
        <v>0.17734447539461473</v>
      </c>
      <c r="I7" s="784">
        <f>D7*P26</f>
        <v>154.46545454545455</v>
      </c>
      <c r="J7" s="786">
        <v>180.7</v>
      </c>
      <c r="L7" s="265">
        <v>2005</v>
      </c>
      <c r="O7" s="540">
        <v>26.8</v>
      </c>
      <c r="P7" s="265">
        <v>7.7</v>
      </c>
    </row>
    <row r="8" spans="3:16" ht="18.75" x14ac:dyDescent="0.25">
      <c r="C8" s="265">
        <v>2006</v>
      </c>
      <c r="D8" s="594">
        <f t="shared" si="0"/>
        <v>2.5876288659793816</v>
      </c>
      <c r="E8" s="792">
        <f>(1.251/1.097)-1</f>
        <v>0.14038286235186859</v>
      </c>
      <c r="F8" s="265">
        <v>2006</v>
      </c>
      <c r="G8" s="792">
        <f>(1.251/1.097)-1</f>
        <v>0.14038286235186859</v>
      </c>
      <c r="I8" s="784">
        <f>D8*P26</f>
        <v>114.83896907216496</v>
      </c>
      <c r="J8" s="786">
        <v>110.8</v>
      </c>
      <c r="L8" s="265">
        <v>2006</v>
      </c>
      <c r="O8" s="540">
        <v>25.1</v>
      </c>
      <c r="P8" s="265">
        <v>9.6999999999999993</v>
      </c>
    </row>
    <row r="9" spans="3:16" ht="18.75" x14ac:dyDescent="0.25">
      <c r="C9" s="265">
        <v>2007</v>
      </c>
      <c r="D9" s="600">
        <f t="shared" si="0"/>
        <v>6.4523809523809526</v>
      </c>
      <c r="E9" s="792">
        <f>(1.542/1.084)-1</f>
        <v>0.42250922509225086</v>
      </c>
      <c r="F9" s="265">
        <v>2007</v>
      </c>
      <c r="G9" s="792">
        <f>(1.542/1.084)-1</f>
        <v>0.42250922509225086</v>
      </c>
      <c r="I9" s="784">
        <f>D9*P26</f>
        <v>286.35666666666668</v>
      </c>
      <c r="J9" s="786">
        <v>413.5</v>
      </c>
      <c r="L9" s="265">
        <v>2007</v>
      </c>
      <c r="O9" s="599">
        <v>54.2</v>
      </c>
      <c r="P9" s="604">
        <v>8.4</v>
      </c>
    </row>
    <row r="10" spans="3:16" ht="18.75" x14ac:dyDescent="0.25">
      <c r="C10" s="265">
        <v>2008</v>
      </c>
      <c r="D10" s="594">
        <f t="shared" si="0"/>
        <v>2.6039603960396041</v>
      </c>
      <c r="E10" s="792">
        <f>(1.263/1.101)-1</f>
        <v>0.14713896457765663</v>
      </c>
      <c r="F10" s="265">
        <v>2008</v>
      </c>
      <c r="G10" s="792">
        <f>(1.263/1.101)-1</f>
        <v>0.14713896457765663</v>
      </c>
      <c r="I10" s="784">
        <f>D10*P26</f>
        <v>115.56376237623763</v>
      </c>
      <c r="J10" s="786">
        <v>112</v>
      </c>
      <c r="L10" s="265">
        <v>2008</v>
      </c>
      <c r="O10" s="540">
        <v>26.3</v>
      </c>
      <c r="P10" s="265">
        <v>10.1</v>
      </c>
    </row>
    <row r="11" spans="3:16" ht="18.75" x14ac:dyDescent="0.25">
      <c r="C11" s="265">
        <v>2009</v>
      </c>
      <c r="D11" s="594">
        <f t="shared" si="0"/>
        <v>2.1846153846153844</v>
      </c>
      <c r="E11" s="792">
        <f>(1.142/1.065)-1</f>
        <v>7.2300469483568053E-2</v>
      </c>
      <c r="F11" s="265">
        <v>2009</v>
      </c>
      <c r="G11" s="792">
        <f>(1.142/1.065)-1</f>
        <v>7.2300469483568053E-2</v>
      </c>
      <c r="I11" s="784">
        <f>D11*P26</f>
        <v>96.953230769230771</v>
      </c>
      <c r="J11" s="786">
        <v>79.2</v>
      </c>
      <c r="L11" s="265">
        <v>2009</v>
      </c>
      <c r="O11" s="540">
        <v>14.2</v>
      </c>
      <c r="P11" s="265">
        <v>6.5</v>
      </c>
    </row>
    <row r="12" spans="3:16" ht="18.75" x14ac:dyDescent="0.25">
      <c r="C12" s="265">
        <v>2010</v>
      </c>
      <c r="D12" s="594">
        <f t="shared" si="0"/>
        <v>2.046875</v>
      </c>
      <c r="E12" s="792">
        <f>(1.131/1.064)-1</f>
        <v>6.296992481203012E-2</v>
      </c>
      <c r="F12" s="265">
        <v>2010</v>
      </c>
      <c r="G12" s="792">
        <f>(1.131/1.064)-1</f>
        <v>6.296992481203012E-2</v>
      </c>
      <c r="I12" s="784">
        <f>D12*P26</f>
        <v>90.84031250000001</v>
      </c>
      <c r="J12" s="786">
        <v>68.400000000000006</v>
      </c>
      <c r="L12" s="265">
        <v>2010</v>
      </c>
      <c r="O12" s="540">
        <v>13.1</v>
      </c>
      <c r="P12" s="265">
        <v>6.4</v>
      </c>
    </row>
    <row r="13" spans="3:16" ht="18.75" x14ac:dyDescent="0.25">
      <c r="C13" s="265">
        <v>2011</v>
      </c>
      <c r="D13" s="594">
        <f t="shared" si="0"/>
        <v>1.3428571428571427</v>
      </c>
      <c r="E13" s="792">
        <f>(1.141/1.105)-1</f>
        <v>3.2579185520362097E-2</v>
      </c>
      <c r="F13" s="265">
        <v>2011</v>
      </c>
      <c r="G13" s="792">
        <f>(1.141/1.105)-1</f>
        <v>3.2579185520362097E-2</v>
      </c>
      <c r="I13" s="784">
        <f>D13*P26</f>
        <v>59.595999999999997</v>
      </c>
      <c r="J13" s="786">
        <v>13.2</v>
      </c>
      <c r="L13" s="265">
        <v>2011</v>
      </c>
      <c r="O13" s="540">
        <v>14.1</v>
      </c>
      <c r="P13" s="265">
        <v>10.5</v>
      </c>
    </row>
    <row r="14" spans="3:16" ht="18.75" x14ac:dyDescent="0.25">
      <c r="C14" s="265">
        <v>2012</v>
      </c>
      <c r="D14" s="594">
        <f t="shared" si="0"/>
        <v>2.290322580645161</v>
      </c>
      <c r="E14" s="792">
        <f>(1.142/1.062)-1</f>
        <v>7.5329566854990482E-2</v>
      </c>
      <c r="F14" s="265">
        <v>2012</v>
      </c>
      <c r="G14" s="792">
        <f>(1.142/1.062)-1</f>
        <v>7.5329566854990482E-2</v>
      </c>
      <c r="I14" s="784">
        <f>D14*P26</f>
        <v>101.64451612903225</v>
      </c>
      <c r="J14" s="786">
        <v>87.5</v>
      </c>
      <c r="L14" s="265">
        <v>2012</v>
      </c>
      <c r="O14" s="540">
        <v>14.2</v>
      </c>
      <c r="P14" s="265">
        <v>6.2</v>
      </c>
    </row>
    <row r="15" spans="3:16" ht="18.75" x14ac:dyDescent="0.25">
      <c r="C15" s="265">
        <v>2013</v>
      </c>
      <c r="D15" s="594">
        <f t="shared" si="0"/>
        <v>2.0675675675675675</v>
      </c>
      <c r="E15" s="792">
        <f>(1.153/1.074)-1</f>
        <v>7.3556797020484233E-2</v>
      </c>
      <c r="F15" s="265">
        <v>2013</v>
      </c>
      <c r="G15" s="792">
        <f>(1.153/1.074)-1</f>
        <v>7.3556797020484233E-2</v>
      </c>
      <c r="I15" s="784">
        <f>D15*P26</f>
        <v>91.758648648648659</v>
      </c>
      <c r="J15" s="786">
        <v>70</v>
      </c>
      <c r="L15" s="265">
        <v>2013</v>
      </c>
      <c r="O15" s="540">
        <v>15.3</v>
      </c>
      <c r="P15" s="265">
        <v>7.4</v>
      </c>
    </row>
    <row r="16" spans="3:16" ht="18.75" x14ac:dyDescent="0.25">
      <c r="C16" s="265">
        <v>2014</v>
      </c>
      <c r="D16" s="594">
        <f t="shared" si="0"/>
        <v>2.0975609756097562</v>
      </c>
      <c r="E16" s="792">
        <f>(1.172/1.082)-1</f>
        <v>8.3179297597042456E-2</v>
      </c>
      <c r="F16" s="265">
        <v>2014</v>
      </c>
      <c r="G16" s="792">
        <f>(1.172/1.082)-1</f>
        <v>8.3179297597042456E-2</v>
      </c>
      <c r="I16" s="784">
        <f>D16*P26</f>
        <v>93.089756097560979</v>
      </c>
      <c r="J16" s="786">
        <v>72.400000000000006</v>
      </c>
      <c r="L16" s="265">
        <v>2014</v>
      </c>
      <c r="O16" s="540">
        <v>17.2</v>
      </c>
      <c r="P16" s="265">
        <v>8.1999999999999993</v>
      </c>
    </row>
    <row r="17" spans="3:34" ht="18.75" x14ac:dyDescent="0.25">
      <c r="C17" s="265">
        <v>2015</v>
      </c>
      <c r="D17" s="594">
        <f t="shared" si="0"/>
        <v>1.9431818181818181</v>
      </c>
      <c r="E17" s="792">
        <f>(1.171/1.088)-1</f>
        <v>7.6286764705882248E-2</v>
      </c>
      <c r="F17" s="265">
        <v>2015</v>
      </c>
      <c r="G17" s="792">
        <f>(1.171/1.088)-1</f>
        <v>7.6286764705882248E-2</v>
      </c>
      <c r="I17" s="784">
        <f>D17*P26</f>
        <v>86.238409090909087</v>
      </c>
      <c r="J17" s="786">
        <v>60.3</v>
      </c>
      <c r="L17" s="265">
        <v>2015</v>
      </c>
      <c r="O17" s="540">
        <v>17.100000000000001</v>
      </c>
      <c r="P17" s="265">
        <v>8.8000000000000007</v>
      </c>
    </row>
    <row r="18" spans="3:34" ht="18.75" x14ac:dyDescent="0.25">
      <c r="C18" s="265">
        <v>2016</v>
      </c>
      <c r="D18" s="594">
        <f t="shared" si="0"/>
        <v>2.2470588235294118</v>
      </c>
      <c r="E18" s="792">
        <f>(1.191/1.085)-1</f>
        <v>9.7695852534562366E-2</v>
      </c>
      <c r="F18" s="265">
        <v>2016</v>
      </c>
      <c r="G18" s="792">
        <f>(1.191/1.085)-1</f>
        <v>9.7695852534562366E-2</v>
      </c>
      <c r="I18" s="784">
        <f>D18*P26</f>
        <v>99.724470588235306</v>
      </c>
      <c r="J18" s="786">
        <v>84.1</v>
      </c>
      <c r="L18" s="265">
        <v>2016</v>
      </c>
      <c r="O18" s="540">
        <v>19.100000000000001</v>
      </c>
      <c r="P18" s="265">
        <v>8.5</v>
      </c>
    </row>
    <row r="19" spans="3:34" ht="18.75" x14ac:dyDescent="0.25">
      <c r="C19" s="265">
        <v>2017</v>
      </c>
      <c r="D19" s="594">
        <f t="shared" si="0"/>
        <v>2.0756302521008401</v>
      </c>
      <c r="E19" s="792">
        <f>(1.247/1.119)-1</f>
        <v>0.1143878462913317</v>
      </c>
      <c r="F19" s="265">
        <v>2017</v>
      </c>
      <c r="G19" s="792">
        <f>(1.247/1.119)-1</f>
        <v>0.1143878462913317</v>
      </c>
      <c r="I19" s="784">
        <f>D19*P26</f>
        <v>92.116470588235288</v>
      </c>
      <c r="J19" s="786">
        <v>70.599999999999994</v>
      </c>
      <c r="L19" s="265">
        <v>2017</v>
      </c>
      <c r="O19" s="540">
        <v>24.7</v>
      </c>
      <c r="P19" s="265">
        <v>11.9</v>
      </c>
    </row>
    <row r="20" spans="3:34" ht="18.75" x14ac:dyDescent="0.25">
      <c r="C20" s="265">
        <v>2018</v>
      </c>
      <c r="D20" s="594">
        <f t="shared" si="0"/>
        <v>2.0788177339901477</v>
      </c>
      <c r="E20" s="792">
        <f>(1.422/1.203)-1</f>
        <v>0.1820448877805485</v>
      </c>
      <c r="F20" s="265">
        <v>2018</v>
      </c>
      <c r="G20" s="792">
        <f>(1.422/1.203)-1</f>
        <v>0.1820448877805485</v>
      </c>
      <c r="I20" s="784">
        <f>D20*P26</f>
        <v>92.257931034482766</v>
      </c>
      <c r="J20" s="786">
        <v>70.900000000000006</v>
      </c>
      <c r="L20" s="265">
        <v>2018</v>
      </c>
      <c r="O20" s="540">
        <v>42.2</v>
      </c>
      <c r="P20" s="265">
        <v>20.3</v>
      </c>
    </row>
    <row r="21" spans="3:34" ht="18.75" x14ac:dyDescent="0.25">
      <c r="C21" s="265">
        <v>2019</v>
      </c>
      <c r="D21" s="594">
        <f t="shared" si="0"/>
        <v>1.7372881355932202</v>
      </c>
      <c r="E21" s="792">
        <f>(1.205/1.118)-1</f>
        <v>7.7817531305903298E-2</v>
      </c>
      <c r="F21" s="265">
        <v>2019</v>
      </c>
      <c r="G21" s="792">
        <f>(1.205/1.118)-1</f>
        <v>7.7817531305903298E-2</v>
      </c>
      <c r="I21" s="784">
        <f>D21*P26</f>
        <v>77.100847457627111</v>
      </c>
      <c r="J21" s="786">
        <v>44.1</v>
      </c>
      <c r="L21" s="265">
        <v>2019</v>
      </c>
      <c r="O21" s="540">
        <v>20.5</v>
      </c>
      <c r="P21" s="265">
        <v>11.8</v>
      </c>
    </row>
    <row r="22" spans="3:34" ht="18.75" x14ac:dyDescent="0.25">
      <c r="C22" s="265">
        <v>2020</v>
      </c>
      <c r="D22" s="594">
        <f t="shared" si="0"/>
        <v>1.8630136986301369</v>
      </c>
      <c r="E22" s="792">
        <f>(1.272/1.146)-1</f>
        <v>0.10994764397905765</v>
      </c>
      <c r="F22" s="265">
        <v>2020</v>
      </c>
      <c r="G22" s="792">
        <f>(1.272/1.146)-1</f>
        <v>0.10994764397905765</v>
      </c>
      <c r="I22" s="784">
        <f>D22*P26</f>
        <v>82.680547945205475</v>
      </c>
      <c r="J22" s="786">
        <v>54</v>
      </c>
      <c r="L22" s="265">
        <v>2020</v>
      </c>
      <c r="O22" s="540">
        <v>27.2</v>
      </c>
      <c r="P22" s="265">
        <v>14.6</v>
      </c>
    </row>
    <row r="23" spans="3:34" ht="18.75" x14ac:dyDescent="0.25">
      <c r="C23" s="265">
        <v>2021</v>
      </c>
      <c r="D23" s="594">
        <f t="shared" si="0"/>
        <v>2.3143015521064303</v>
      </c>
      <c r="E23" s="792">
        <f>(1.835/1.3608)-1</f>
        <v>0.34847148736037625</v>
      </c>
      <c r="F23" s="265">
        <v>2021</v>
      </c>
      <c r="G23" s="792">
        <f>(1.835/1.3608)-1</f>
        <v>0.34847148736037625</v>
      </c>
      <c r="I23" s="784">
        <f>D23*P26</f>
        <v>102.70870288248338</v>
      </c>
      <c r="J23" s="786">
        <v>89.3</v>
      </c>
      <c r="L23" s="265">
        <v>2021</v>
      </c>
      <c r="O23" s="540">
        <v>83.5</v>
      </c>
      <c r="P23" s="265">
        <v>36.08</v>
      </c>
    </row>
    <row r="24" spans="3:34" ht="18.75" x14ac:dyDescent="0.25">
      <c r="C24" s="265">
        <v>2022</v>
      </c>
      <c r="D24" s="594">
        <f t="shared" si="0"/>
        <v>1.4018982417924382</v>
      </c>
      <c r="E24" s="792">
        <f>(1.901/1.6427)-1</f>
        <v>0.15724112741218721</v>
      </c>
      <c r="F24" s="265">
        <v>2022</v>
      </c>
      <c r="G24" s="792">
        <f>(1.901/1.6427)-1</f>
        <v>0.15724112741218721</v>
      </c>
      <c r="I24" s="784">
        <f>D24*P26</f>
        <v>62.216243970748408</v>
      </c>
      <c r="J24" s="786">
        <v>17.8</v>
      </c>
      <c r="L24" s="265">
        <v>2022</v>
      </c>
      <c r="O24" s="540">
        <v>90.1</v>
      </c>
      <c r="P24" s="265">
        <v>64.27</v>
      </c>
    </row>
    <row r="25" spans="3:34" ht="18.75" x14ac:dyDescent="0.25">
      <c r="C25" s="265">
        <v>2023</v>
      </c>
      <c r="D25" s="594">
        <f t="shared" si="0"/>
        <v>1.1903659101435851</v>
      </c>
      <c r="E25" s="792">
        <f>(1.771/1.6477)-1</f>
        <v>7.4831583419311842E-2</v>
      </c>
      <c r="F25" s="265">
        <v>2023</v>
      </c>
      <c r="G25" s="792">
        <f>(1.771/1.6477)-1</f>
        <v>7.4831583419311842E-2</v>
      </c>
      <c r="I25" s="784">
        <f>D25*P26</f>
        <v>52.82843909217231</v>
      </c>
      <c r="J25" s="786">
        <v>1.3</v>
      </c>
      <c r="L25" s="265">
        <v>2023</v>
      </c>
      <c r="O25" s="540">
        <v>77.099999999999994</v>
      </c>
      <c r="P25" s="265">
        <v>64.77</v>
      </c>
      <c r="S25" s="1351" t="s">
        <v>469</v>
      </c>
      <c r="T25" s="1351"/>
      <c r="U25" s="1351"/>
      <c r="V25" s="1351"/>
      <c r="W25" s="1351"/>
      <c r="X25" s="1351"/>
      <c r="AC25" s="1351" t="s">
        <v>468</v>
      </c>
      <c r="AD25" s="1351"/>
      <c r="AE25" s="1351"/>
      <c r="AF25" s="1351"/>
      <c r="AG25" s="1351"/>
      <c r="AH25" s="1351"/>
    </row>
    <row r="26" spans="3:34" ht="18.75" x14ac:dyDescent="0.25">
      <c r="C26" s="787">
        <v>2024</v>
      </c>
      <c r="D26" s="788">
        <f t="shared" si="0"/>
        <v>1.2167643082469579</v>
      </c>
      <c r="E26" s="792">
        <f>(1.557/1.4438)-1</f>
        <v>7.8404211109571964E-2</v>
      </c>
      <c r="F26" s="787">
        <v>2024</v>
      </c>
      <c r="G26" s="792">
        <f>(1.54/1.4438)-1</f>
        <v>6.6629727109017933E-2</v>
      </c>
      <c r="I26" s="596">
        <f>O26</f>
        <v>54</v>
      </c>
      <c r="J26" s="617">
        <v>3.3</v>
      </c>
      <c r="L26" s="787">
        <v>2024</v>
      </c>
      <c r="O26" s="787">
        <v>54</v>
      </c>
      <c r="P26" s="787">
        <v>44.38</v>
      </c>
    </row>
  </sheetData>
  <mergeCells count="2">
    <mergeCell ref="AC25:AH25"/>
    <mergeCell ref="S25:X2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7"/>
  <sheetViews>
    <sheetView zoomScale="70" zoomScaleNormal="70" workbookViewId="0">
      <selection activeCell="R11" sqref="R11"/>
    </sheetView>
  </sheetViews>
  <sheetFormatPr defaultRowHeight="15" x14ac:dyDescent="0.25"/>
  <cols>
    <col min="4" max="4" width="16.28515625" customWidth="1"/>
    <col min="5" max="5" width="2.85546875" customWidth="1"/>
    <col min="6" max="6" width="15.5703125" customWidth="1"/>
    <col min="7" max="7" width="21.7109375" customWidth="1"/>
    <col min="8" max="8" width="3" customWidth="1"/>
    <col min="9" max="9" width="19.140625" customWidth="1"/>
    <col min="10" max="10" width="12" bestFit="1" customWidth="1"/>
    <col min="12" max="12" width="12" bestFit="1" customWidth="1"/>
    <col min="13" max="13" width="18.7109375" customWidth="1"/>
    <col min="14" max="14" width="24.42578125" customWidth="1"/>
    <col min="15" max="15" width="23.85546875" customWidth="1"/>
    <col min="16" max="16" width="15.7109375" customWidth="1"/>
    <col min="18" max="18" width="21.42578125" customWidth="1"/>
    <col min="19" max="19" width="12.28515625" bestFit="1" customWidth="1"/>
  </cols>
  <sheetData>
    <row r="1" spans="1:18" ht="14.45" customHeight="1" x14ac:dyDescent="0.25">
      <c r="B1" s="1357" t="s">
        <v>257</v>
      </c>
      <c r="C1" s="1358"/>
      <c r="D1" s="1358"/>
      <c r="E1" s="1358"/>
      <c r="F1" s="1358"/>
      <c r="G1" s="1358"/>
      <c r="H1" s="1358"/>
      <c r="I1" s="1358"/>
      <c r="J1" s="1358"/>
      <c r="K1" s="1358"/>
      <c r="L1" s="1359"/>
    </row>
    <row r="2" spans="1:18" ht="7.9" customHeight="1" thickBot="1" x14ac:dyDescent="0.3">
      <c r="B2" s="1360"/>
      <c r="C2" s="1361"/>
      <c r="D2" s="1361"/>
      <c r="E2" s="1361"/>
      <c r="F2" s="1361"/>
      <c r="G2" s="1361"/>
      <c r="H2" s="1361"/>
      <c r="I2" s="1361"/>
      <c r="J2" s="1361"/>
      <c r="K2" s="1361"/>
      <c r="L2" s="1362"/>
    </row>
    <row r="3" spans="1:18" ht="6.6" customHeight="1" thickBot="1" x14ac:dyDescent="0.3"/>
    <row r="4" spans="1:18" ht="15" customHeight="1" thickBot="1" x14ac:dyDescent="0.3">
      <c r="B4" s="1363" t="s">
        <v>73</v>
      </c>
      <c r="C4" s="1364"/>
      <c r="D4" s="1365"/>
      <c r="E4" s="1355">
        <f>'AYRINTILI BİLGİLER'!N11</f>
        <v>1802342.1229233784</v>
      </c>
      <c r="F4" s="1356"/>
    </row>
    <row r="5" spans="1:18" ht="4.1500000000000004" customHeight="1" thickBot="1" x14ac:dyDescent="0.3"/>
    <row r="6" spans="1:18" ht="15.75" thickBot="1" x14ac:dyDescent="0.3">
      <c r="D6" s="470" t="s">
        <v>262</v>
      </c>
      <c r="F6" s="1387" t="s">
        <v>66</v>
      </c>
      <c r="G6" s="1388"/>
      <c r="I6" s="1387" t="s">
        <v>66</v>
      </c>
      <c r="J6" s="1389"/>
      <c r="K6" s="1389"/>
      <c r="L6" s="1388"/>
      <c r="M6" s="1379" t="s">
        <v>435</v>
      </c>
    </row>
    <row r="7" spans="1:18" ht="27" customHeight="1" thickTop="1" thickBot="1" x14ac:dyDescent="0.5">
      <c r="A7" s="469" t="s">
        <v>258</v>
      </c>
      <c r="B7" s="1373">
        <v>2023</v>
      </c>
      <c r="C7" s="1374"/>
      <c r="D7" s="474">
        <v>90.1</v>
      </c>
      <c r="E7" s="311"/>
      <c r="F7" s="475">
        <f>'AYRINTILI BİLGİLER'!P11</f>
        <v>3190.3598602398033</v>
      </c>
      <c r="G7" s="476">
        <f>'AYRINTILI BİLGİLER'!S11</f>
        <v>392446.31793383864</v>
      </c>
      <c r="H7" s="311"/>
      <c r="I7" s="475">
        <f>'5 YILLIK GELECEĞİ PLANLAMA '!H38</f>
        <v>6462.0712284470246</v>
      </c>
      <c r="J7" s="1381">
        <f>((102577590700*90.1)/100)*0.026167</f>
        <v>2418417182.0780568</v>
      </c>
      <c r="K7" s="1382"/>
      <c r="L7" s="1382"/>
      <c r="M7" s="1380"/>
      <c r="N7" s="757"/>
      <c r="O7" s="757"/>
      <c r="P7" s="757"/>
    </row>
    <row r="8" spans="1:18" ht="15" customHeight="1" thickTop="1" x14ac:dyDescent="0.25">
      <c r="B8" s="1409" t="s">
        <v>97</v>
      </c>
      <c r="C8" s="1410"/>
      <c r="D8" s="1413" t="s">
        <v>251</v>
      </c>
      <c r="F8" s="1170" t="s">
        <v>83</v>
      </c>
      <c r="G8" s="1396" t="s">
        <v>82</v>
      </c>
      <c r="I8" s="1170" t="s">
        <v>108</v>
      </c>
      <c r="J8" s="1398" t="s">
        <v>263</v>
      </c>
      <c r="K8" s="1399"/>
      <c r="L8" s="1400"/>
      <c r="M8" s="1383" t="s">
        <v>256</v>
      </c>
      <c r="N8" s="1366" t="s">
        <v>48</v>
      </c>
      <c r="O8" s="1366" t="s">
        <v>253</v>
      </c>
      <c r="P8" s="1366" t="s">
        <v>254</v>
      </c>
    </row>
    <row r="9" spans="1:18" ht="28.15" customHeight="1" thickBot="1" x14ac:dyDescent="0.3">
      <c r="B9" s="1411"/>
      <c r="C9" s="1412"/>
      <c r="D9" s="1414"/>
      <c r="F9" s="1408"/>
      <c r="G9" s="1397"/>
      <c r="I9" s="1408"/>
      <c r="J9" s="1401"/>
      <c r="K9" s="1402"/>
      <c r="L9" s="1403"/>
      <c r="M9" s="1383"/>
      <c r="N9" s="1366"/>
      <c r="O9" s="1366"/>
      <c r="P9" s="1366"/>
    </row>
    <row r="10" spans="1:18" ht="40.9" customHeight="1" thickTop="1" thickBot="1" x14ac:dyDescent="0.5">
      <c r="A10" s="1384" t="s">
        <v>259</v>
      </c>
      <c r="B10" s="1373">
        <v>2024</v>
      </c>
      <c r="C10" s="1374"/>
      <c r="D10" s="474">
        <f>'BAŞ SAYFA'!L4</f>
        <v>77.099999999999994</v>
      </c>
      <c r="E10" s="311"/>
      <c r="F10" s="475">
        <f>'AYRINTILI BİLGİLER'!P12</f>
        <v>6462.0712284470246</v>
      </c>
      <c r="G10" s="476">
        <f>'AYRINTILI BİLGİLER'!S12</f>
        <v>538064.11011396628</v>
      </c>
      <c r="H10" s="311"/>
      <c r="I10" s="475">
        <f>'AYRINTILI BİLGİLER'!Q12</f>
        <v>32759.25250571482</v>
      </c>
      <c r="J10" s="1381">
        <f>((195000000000*'BAŞ SAYFA'!L4)/100)*0.026167</f>
        <v>3934077614.999999</v>
      </c>
      <c r="K10" s="1382"/>
      <c r="L10" s="1382"/>
      <c r="M10" s="732" t="s">
        <v>436</v>
      </c>
      <c r="N10" s="758">
        <f>(O10+194800000000)-P10</f>
        <v>341060757336.40002</v>
      </c>
      <c r="O10" s="758">
        <f>(194800000000*D10)/100</f>
        <v>150190799999.99997</v>
      </c>
      <c r="P10" s="758">
        <f>O10*0.026167</f>
        <v>3930042663.599999</v>
      </c>
      <c r="R10" s="758">
        <f>N10*0.3</f>
        <v>102318227200.92</v>
      </c>
    </row>
    <row r="11" spans="1:18" ht="22.9" customHeight="1" thickTop="1" thickBot="1" x14ac:dyDescent="0.5">
      <c r="A11" s="1385"/>
      <c r="B11" s="1375">
        <v>2025</v>
      </c>
      <c r="C11" s="1376"/>
      <c r="D11" s="857">
        <f>'BAŞ SAYFA'!L5</f>
        <v>55.2</v>
      </c>
      <c r="E11" s="311"/>
      <c r="F11" s="481">
        <f>'AYRINTILI BİLGİLER'!P13</f>
        <v>9547.8006007782606</v>
      </c>
      <c r="G11" s="482">
        <f>'AYRINTILI BİLGİLER'!S13</f>
        <v>567809.67774334131</v>
      </c>
      <c r="H11" s="311"/>
      <c r="I11" s="481">
        <f>'AYRINTILI BİLGİLER'!Q13</f>
        <v>33832.326983776235</v>
      </c>
      <c r="J11" s="1393">
        <f>P11</f>
        <v>4807024435.1999998</v>
      </c>
      <c r="K11" s="1394"/>
      <c r="L11" s="1395"/>
      <c r="M11" s="759" t="s">
        <v>437</v>
      </c>
      <c r="N11" s="758">
        <f>(332800000000+O11)-P11</f>
        <v>511698575564.79999</v>
      </c>
      <c r="O11" s="758">
        <f>(332800000000*D11)/100</f>
        <v>183705600000</v>
      </c>
      <c r="P11" s="758">
        <f>O11*0.026167</f>
        <v>4807024435.1999998</v>
      </c>
      <c r="R11" s="758">
        <f>N11*0.45</f>
        <v>230264359004.16</v>
      </c>
    </row>
    <row r="12" spans="1:18" ht="24.6" customHeight="1" thickTop="1" thickBot="1" x14ac:dyDescent="0.5">
      <c r="A12" s="1385"/>
      <c r="B12" s="1377">
        <v>2026</v>
      </c>
      <c r="C12" s="1378"/>
      <c r="D12" s="477">
        <f>'BAŞ SAYFA'!L6</f>
        <v>75</v>
      </c>
      <c r="E12" s="311"/>
      <c r="F12" s="478">
        <f>'AYRINTILI BİLGİLER'!P14</f>
        <v>11108.313824622035</v>
      </c>
      <c r="G12" s="479">
        <f>'AYRINTILI BİLGİLER'!S14</f>
        <v>953704.95949100063</v>
      </c>
      <c r="H12" s="311"/>
      <c r="I12" s="478">
        <f>'AYRINTILI BİLGİLER'!Q14</f>
        <v>57957.335617709774</v>
      </c>
      <c r="J12" s="1390">
        <f>P12</f>
        <v>10042212470.10309</v>
      </c>
      <c r="K12" s="1391"/>
      <c r="L12" s="1392"/>
      <c r="M12" s="760" t="s">
        <v>438</v>
      </c>
      <c r="N12" s="758">
        <f>(N11+O12)-P12</f>
        <v>885430294768.29675</v>
      </c>
      <c r="O12" s="758">
        <f>(N11*D12)/100</f>
        <v>383773931673.59998</v>
      </c>
      <c r="P12" s="758">
        <f>O12*0.026167</f>
        <v>10042212470.10309</v>
      </c>
    </row>
    <row r="13" spans="1:18" ht="27" customHeight="1" thickTop="1" thickBot="1" x14ac:dyDescent="0.5">
      <c r="A13" s="1385"/>
      <c r="B13" s="1404">
        <v>2027</v>
      </c>
      <c r="C13" s="1405"/>
      <c r="D13" s="480">
        <f>'BAŞ SAYFA'!L7</f>
        <v>65</v>
      </c>
      <c r="E13" s="311"/>
      <c r="F13" s="481">
        <f>'AYRINTILI BİLGİLER'!P15</f>
        <v>15858.305175256184</v>
      </c>
      <c r="G13" s="482">
        <f>'AYRINTILI BİLGİLER'!S15</f>
        <v>1222050.2681495629</v>
      </c>
      <c r="H13" s="311"/>
      <c r="I13" s="481">
        <f>'AYRINTILI BİLGİLER'!Q15</f>
        <v>73604.879455085858</v>
      </c>
      <c r="J13" s="1393">
        <f>P13</f>
        <v>15059885440.081314</v>
      </c>
      <c r="K13" s="1394"/>
      <c r="L13" s="1395"/>
      <c r="M13" s="760" t="s">
        <v>439</v>
      </c>
      <c r="N13" s="758">
        <f>(N12+O13)-P13</f>
        <v>1445900100927.6084</v>
      </c>
      <c r="O13" s="758">
        <f>(N12*D13)/100</f>
        <v>575529691599.39294</v>
      </c>
      <c r="P13" s="758">
        <f>O13*0.026167</f>
        <v>15059885440.081314</v>
      </c>
    </row>
    <row r="14" spans="1:18" ht="26.45" customHeight="1" thickTop="1" thickBot="1" x14ac:dyDescent="0.5">
      <c r="A14" s="1386"/>
      <c r="B14" s="1406">
        <v>2028</v>
      </c>
      <c r="C14" s="1407"/>
      <c r="D14" s="477">
        <f>'BAŞ SAYFA'!L8</f>
        <v>65</v>
      </c>
      <c r="E14" s="311"/>
      <c r="F14" s="483">
        <f>'AYRINTILI BİLGİLER'!P16</f>
        <v>22204.794457503238</v>
      </c>
      <c r="G14" s="479">
        <f>'AYRINTILI BİLGİLER'!S16</f>
        <v>1664375.9174750398</v>
      </c>
      <c r="H14" s="311"/>
      <c r="I14" s="483">
        <f>'AYRINTILI BİLGİLER'!Q16</f>
        <v>100262.73707886679</v>
      </c>
      <c r="J14" s="1390">
        <f>P14</f>
        <v>24592664161.632271</v>
      </c>
      <c r="K14" s="1391"/>
      <c r="L14" s="1392"/>
      <c r="M14" s="760" t="s">
        <v>440</v>
      </c>
      <c r="N14" s="758">
        <f>(N13+O14)-P14</f>
        <v>2361142502368.9214</v>
      </c>
      <c r="O14" s="758">
        <f>(N13*D14)/100</f>
        <v>939835065602.94543</v>
      </c>
      <c r="P14" s="758">
        <f>O14*0.026167</f>
        <v>24592664161.632271</v>
      </c>
    </row>
    <row r="15" spans="1:18" ht="3.6" customHeight="1" thickBot="1" x14ac:dyDescent="0.3">
      <c r="M15" s="473"/>
      <c r="N15" s="757"/>
      <c r="O15" s="757"/>
      <c r="P15" s="757"/>
    </row>
    <row r="16" spans="1:18" ht="14.45" customHeight="1" x14ac:dyDescent="0.25">
      <c r="B16" s="1367" t="s">
        <v>252</v>
      </c>
      <c r="C16" s="1368"/>
      <c r="D16" s="1368"/>
      <c r="E16" s="1368"/>
      <c r="F16" s="1368"/>
      <c r="G16" s="1368"/>
      <c r="H16" s="1368"/>
      <c r="I16" s="1368"/>
      <c r="J16" s="1368"/>
      <c r="K16" s="1368"/>
      <c r="L16" s="1369"/>
      <c r="M16" s="473"/>
      <c r="N16" s="757"/>
      <c r="O16" s="757"/>
      <c r="P16" s="757"/>
    </row>
    <row r="17" spans="2:16" ht="2.4500000000000002" customHeight="1" thickBot="1" x14ac:dyDescent="0.3">
      <c r="B17" s="1370"/>
      <c r="C17" s="1371"/>
      <c r="D17" s="1371"/>
      <c r="E17" s="1371"/>
      <c r="F17" s="1371"/>
      <c r="G17" s="1371"/>
      <c r="H17" s="1371"/>
      <c r="I17" s="1371"/>
      <c r="J17" s="1371"/>
      <c r="K17" s="1371"/>
      <c r="L17" s="1372"/>
      <c r="M17" s="473"/>
      <c r="N17" s="757"/>
      <c r="O17" s="757"/>
      <c r="P17" s="757"/>
    </row>
    <row r="18" spans="2:16" ht="3.6" customHeight="1" thickBot="1" x14ac:dyDescent="0.3">
      <c r="M18" s="473"/>
      <c r="N18" s="757"/>
      <c r="O18" s="757"/>
      <c r="P18" s="757"/>
    </row>
    <row r="19" spans="2:16" ht="14.45" customHeight="1" x14ac:dyDescent="0.25">
      <c r="B19" s="1367" t="s">
        <v>255</v>
      </c>
      <c r="C19" s="1368"/>
      <c r="D19" s="1368"/>
      <c r="E19" s="1368"/>
      <c r="F19" s="1368"/>
      <c r="G19" s="1368"/>
      <c r="H19" s="1368"/>
      <c r="I19" s="1368"/>
      <c r="J19" s="1368"/>
      <c r="K19" s="1368"/>
      <c r="L19" s="1369"/>
      <c r="M19" s="473"/>
      <c r="N19" s="757"/>
      <c r="O19" s="757"/>
      <c r="P19" s="757"/>
    </row>
    <row r="20" spans="2:16" ht="15.75" thickBot="1" x14ac:dyDescent="0.3">
      <c r="B20" s="1370"/>
      <c r="C20" s="1371"/>
      <c r="D20" s="1371"/>
      <c r="E20" s="1371"/>
      <c r="F20" s="1371"/>
      <c r="G20" s="1371"/>
      <c r="H20" s="1371"/>
      <c r="I20" s="1371"/>
      <c r="J20" s="1371"/>
      <c r="K20" s="1371"/>
      <c r="L20" s="1372"/>
      <c r="M20" s="473"/>
      <c r="N20" s="757"/>
      <c r="O20" s="757"/>
      <c r="P20" s="757"/>
    </row>
    <row r="21" spans="2:16" ht="3.6" customHeight="1" thickBot="1" x14ac:dyDescent="0.3">
      <c r="M21" s="473"/>
      <c r="N21" s="757"/>
      <c r="O21" s="757"/>
      <c r="P21" s="757"/>
    </row>
    <row r="22" spans="2:16" ht="14.45" customHeight="1" x14ac:dyDescent="0.25">
      <c r="B22" s="1367" t="s">
        <v>261</v>
      </c>
      <c r="C22" s="1368"/>
      <c r="D22" s="1368"/>
      <c r="E22" s="1368"/>
      <c r="F22" s="1368"/>
      <c r="G22" s="1368"/>
      <c r="H22" s="1368"/>
      <c r="I22" s="1368"/>
      <c r="J22" s="1368"/>
      <c r="K22" s="1368"/>
      <c r="L22" s="1369"/>
      <c r="M22" s="473"/>
      <c r="N22" s="757"/>
      <c r="O22" s="757"/>
      <c r="P22" s="757"/>
    </row>
    <row r="23" spans="2:16" ht="44.45" customHeight="1" thickBot="1" x14ac:dyDescent="0.3">
      <c r="B23" s="1370"/>
      <c r="C23" s="1371"/>
      <c r="D23" s="1371"/>
      <c r="E23" s="1371"/>
      <c r="F23" s="1371"/>
      <c r="G23" s="1371"/>
      <c r="H23" s="1371"/>
      <c r="I23" s="1371"/>
      <c r="J23" s="1371"/>
      <c r="K23" s="1371"/>
      <c r="L23" s="1372"/>
      <c r="M23" s="473"/>
      <c r="N23" s="758">
        <f>(N10*1.54)*0.3</f>
        <v>157570069889.41681</v>
      </c>
      <c r="O23" s="758">
        <f>N23/35.5</f>
        <v>4438593518.0117407</v>
      </c>
      <c r="P23" s="757"/>
    </row>
    <row r="24" spans="2:16" ht="4.9000000000000004" customHeight="1" thickBot="1" x14ac:dyDescent="0.3">
      <c r="M24" s="473"/>
      <c r="N24" s="757"/>
      <c r="O24" s="757"/>
      <c r="P24" s="757"/>
    </row>
    <row r="25" spans="2:16" ht="32.450000000000003" customHeight="1" thickBot="1" x14ac:dyDescent="0.3">
      <c r="B25" s="1352" t="s">
        <v>270</v>
      </c>
      <c r="C25" s="1353"/>
      <c r="D25" s="1353"/>
      <c r="E25" s="1353"/>
      <c r="F25" s="1353"/>
      <c r="G25" s="1353"/>
      <c r="H25" s="1353"/>
      <c r="I25" s="1353"/>
      <c r="J25" s="1353"/>
      <c r="K25" s="1353"/>
      <c r="L25" s="1354"/>
      <c r="M25" s="473"/>
    </row>
    <row r="27" spans="2:16" x14ac:dyDescent="0.25">
      <c r="B27" s="517"/>
    </row>
  </sheetData>
  <protectedRanges>
    <protectedRange algorithmName="SHA-512" hashValue="FoJ+/l5eVT2EH6sboFJUmsbZnDfPg41GtrTE+eyAZCUgHRj19I5PF5dxv1QVaSj8e0VKp8XsolVTKHiNh7Qu5Q==" saltValue="3wSkbAgE+oTmOv51IwGFQQ==" spinCount="100000" sqref="B8 D8:E8 B9:E13 F10:I13 B7:D7" name="GELECEK YILLAR TAHMİN GİRİŞİ"/>
  </protectedRanges>
  <mergeCells count="33">
    <mergeCell ref="A10:A14"/>
    <mergeCell ref="F6:G6"/>
    <mergeCell ref="I6:L6"/>
    <mergeCell ref="J12:L12"/>
    <mergeCell ref="J14:L14"/>
    <mergeCell ref="J11:L11"/>
    <mergeCell ref="J13:L13"/>
    <mergeCell ref="G8:G9"/>
    <mergeCell ref="J8:L9"/>
    <mergeCell ref="J10:L10"/>
    <mergeCell ref="B13:C13"/>
    <mergeCell ref="B14:C14"/>
    <mergeCell ref="F8:F9"/>
    <mergeCell ref="I8:I9"/>
    <mergeCell ref="B8:C9"/>
    <mergeCell ref="D8:D9"/>
    <mergeCell ref="P8:P9"/>
    <mergeCell ref="B7:C7"/>
    <mergeCell ref="J7:L7"/>
    <mergeCell ref="N8:N9"/>
    <mergeCell ref="M8:M9"/>
    <mergeCell ref="B25:L25"/>
    <mergeCell ref="E4:F4"/>
    <mergeCell ref="B1:L2"/>
    <mergeCell ref="B4:D4"/>
    <mergeCell ref="O8:O9"/>
    <mergeCell ref="B16:L17"/>
    <mergeCell ref="B19:L20"/>
    <mergeCell ref="B22:L23"/>
    <mergeCell ref="B10:C10"/>
    <mergeCell ref="B11:C11"/>
    <mergeCell ref="B12:C12"/>
    <mergeCell ref="M6:M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27"/>
  <sheetViews>
    <sheetView topLeftCell="A12" zoomScale="60" zoomScaleNormal="60" workbookViewId="0">
      <selection activeCell="D32" sqref="D32"/>
    </sheetView>
  </sheetViews>
  <sheetFormatPr defaultRowHeight="15" x14ac:dyDescent="0.25"/>
  <cols>
    <col min="1" max="1" width="9" customWidth="1"/>
    <col min="2" max="2" width="66.140625" customWidth="1"/>
    <col min="3" max="3" width="39.7109375" customWidth="1"/>
    <col min="4" max="4" width="12.28515625" customWidth="1"/>
    <col min="7" max="7" width="17.28515625" bestFit="1" customWidth="1"/>
    <col min="8" max="8" width="0.7109375" customWidth="1"/>
    <col min="10" max="10" width="13.85546875" bestFit="1" customWidth="1"/>
    <col min="11" max="11" width="12.7109375" bestFit="1" customWidth="1"/>
    <col min="12" max="12" width="20" bestFit="1" customWidth="1"/>
  </cols>
  <sheetData>
    <row r="1" spans="2:22" ht="14.45" customHeight="1" x14ac:dyDescent="0.25">
      <c r="B1" s="1423" t="s">
        <v>442</v>
      </c>
      <c r="C1" s="1424"/>
      <c r="D1" s="1424"/>
      <c r="E1" s="1424"/>
      <c r="F1" s="1424"/>
      <c r="G1" s="1424"/>
    </row>
    <row r="2" spans="2:22" ht="35.450000000000003" customHeight="1" x14ac:dyDescent="0.25">
      <c r="B2" s="1423"/>
      <c r="C2" s="1424"/>
      <c r="D2" s="1424"/>
      <c r="E2" s="1424"/>
      <c r="F2" s="1424"/>
      <c r="G2" s="1424"/>
    </row>
    <row r="3" spans="2:22" ht="6.6" customHeight="1" thickBot="1" x14ac:dyDescent="0.3"/>
    <row r="4" spans="2:22" ht="25.9" customHeight="1" thickBot="1" x14ac:dyDescent="0.3">
      <c r="B4" s="576" t="s">
        <v>441</v>
      </c>
      <c r="C4" s="577">
        <f>'BAŞ SAYFA'!L5</f>
        <v>55.2</v>
      </c>
      <c r="D4" s="518"/>
      <c r="E4" s="518"/>
      <c r="I4" s="765"/>
      <c r="J4" s="765"/>
      <c r="K4" s="765"/>
      <c r="L4" s="765"/>
      <c r="M4" s="765"/>
      <c r="N4" s="765"/>
      <c r="O4" s="765"/>
      <c r="P4" s="765"/>
      <c r="Q4" s="765"/>
      <c r="R4" s="765"/>
      <c r="S4" s="765"/>
      <c r="T4" s="765"/>
      <c r="U4" s="765"/>
    </row>
    <row r="5" spans="2:22" ht="6.6" customHeight="1" thickBot="1" x14ac:dyDescent="0.3">
      <c r="B5" s="518"/>
      <c r="C5" s="522"/>
      <c r="D5" s="518"/>
      <c r="E5" s="518"/>
      <c r="I5" s="765"/>
      <c r="J5" s="765"/>
      <c r="K5" s="765"/>
      <c r="L5" s="765"/>
      <c r="M5" s="765"/>
      <c r="N5" s="765"/>
      <c r="O5" s="765"/>
      <c r="P5" s="765"/>
      <c r="Q5" s="765"/>
      <c r="R5" s="765"/>
      <c r="S5" s="765"/>
      <c r="T5" s="765"/>
      <c r="U5" s="765"/>
    </row>
    <row r="6" spans="2:22" ht="43.9" customHeight="1" thickBot="1" x14ac:dyDescent="0.3">
      <c r="B6" s="519" t="s">
        <v>427</v>
      </c>
      <c r="C6" s="523" cm="1">
        <f t="array" ref="C6:E6">'MASRAF VE RİZİKO'!J10:L10</f>
        <v>3934077614.999999</v>
      </c>
      <c r="D6" s="518">
        <v>0</v>
      </c>
      <c r="E6" s="518">
        <v>0</v>
      </c>
      <c r="I6" s="765"/>
      <c r="J6" s="765"/>
      <c r="K6" s="765"/>
      <c r="L6" s="765"/>
      <c r="M6" s="765"/>
      <c r="N6" s="765"/>
      <c r="O6" s="765"/>
      <c r="P6" s="765"/>
      <c r="Q6" s="765"/>
      <c r="R6" s="765"/>
      <c r="S6" s="765"/>
      <c r="T6" s="765"/>
      <c r="U6" s="765"/>
      <c r="V6" s="765"/>
    </row>
    <row r="7" spans="2:22" ht="43.9" customHeight="1" thickBot="1" x14ac:dyDescent="0.3">
      <c r="B7" s="520" t="s">
        <v>272</v>
      </c>
      <c r="C7" s="524">
        <v>70</v>
      </c>
      <c r="D7" s="518"/>
      <c r="E7" s="1420" t="s">
        <v>273</v>
      </c>
      <c r="F7" s="1421"/>
      <c r="G7" s="1421"/>
      <c r="H7" s="1422"/>
      <c r="I7" s="765"/>
      <c r="J7" s="765"/>
      <c r="K7" s="765"/>
      <c r="L7" s="765"/>
      <c r="M7" s="765"/>
      <c r="N7" s="765"/>
      <c r="O7" s="765"/>
      <c r="P7" s="765"/>
      <c r="Q7" s="765"/>
      <c r="R7" s="765"/>
      <c r="S7" s="765"/>
      <c r="T7" s="765"/>
      <c r="U7" s="765"/>
      <c r="V7" s="765"/>
    </row>
    <row r="8" spans="2:22" ht="43.9" customHeight="1" thickBot="1" x14ac:dyDescent="0.3">
      <c r="B8" s="581" t="s">
        <v>274</v>
      </c>
      <c r="C8" s="525">
        <f>(C6*C7)/100</f>
        <v>2753854330.4999995</v>
      </c>
      <c r="D8" s="518"/>
      <c r="E8" s="768"/>
      <c r="F8" s="768"/>
      <c r="G8" s="768"/>
      <c r="H8" s="518"/>
      <c r="I8" s="765"/>
      <c r="J8" s="765"/>
      <c r="K8" s="765"/>
      <c r="L8" s="765"/>
      <c r="M8" s="765"/>
      <c r="N8" s="765"/>
      <c r="O8" s="765"/>
      <c r="P8" s="765"/>
      <c r="Q8" s="765"/>
      <c r="R8" s="765"/>
      <c r="S8" s="765"/>
      <c r="T8" s="765"/>
      <c r="U8" s="765"/>
      <c r="V8" s="765"/>
    </row>
    <row r="9" spans="2:22" ht="6" customHeight="1" thickBot="1" x14ac:dyDescent="0.3">
      <c r="B9" s="518"/>
      <c r="C9" s="522"/>
      <c r="D9" s="518"/>
      <c r="E9" s="768"/>
      <c r="F9" s="768"/>
      <c r="G9" s="768"/>
      <c r="H9" s="518"/>
      <c r="I9" s="765"/>
      <c r="J9" s="765"/>
      <c r="K9" s="765"/>
      <c r="L9" s="765"/>
      <c r="M9" s="765"/>
      <c r="N9" s="765"/>
      <c r="O9" s="765"/>
      <c r="P9" s="765"/>
      <c r="Q9" s="765"/>
      <c r="R9" s="765"/>
      <c r="S9" s="765"/>
      <c r="T9" s="765"/>
      <c r="U9" s="765"/>
      <c r="V9" s="765"/>
    </row>
    <row r="10" spans="2:22" ht="52.15" customHeight="1" thickBot="1" x14ac:dyDescent="0.3">
      <c r="B10" s="590" t="s">
        <v>443</v>
      </c>
      <c r="C10" s="521" cm="1">
        <f t="array" ref="C10:E10">'MASRAF VE RİZİKO'!J11:L11</f>
        <v>4807024435.1999998</v>
      </c>
      <c r="D10" s="518">
        <v>0</v>
      </c>
      <c r="E10" s="768">
        <v>0</v>
      </c>
      <c r="F10" s="765"/>
      <c r="G10" s="765"/>
      <c r="I10" s="765"/>
      <c r="J10" s="765"/>
      <c r="K10" s="765"/>
      <c r="L10" s="765"/>
      <c r="M10" s="765"/>
      <c r="N10" s="765"/>
      <c r="O10" s="765"/>
      <c r="P10" s="765"/>
      <c r="Q10" s="765"/>
      <c r="R10" s="765"/>
      <c r="S10" s="765"/>
      <c r="T10" s="765"/>
      <c r="U10" s="765"/>
      <c r="V10" s="765"/>
    </row>
    <row r="11" spans="2:22" ht="9.6" customHeight="1" thickBot="1" x14ac:dyDescent="0.45">
      <c r="C11" s="466"/>
      <c r="E11" s="768"/>
      <c r="F11" s="768"/>
      <c r="G11" s="768"/>
      <c r="I11" s="765"/>
      <c r="J11" s="765"/>
      <c r="K11" s="765"/>
      <c r="L11" s="765"/>
      <c r="M11" s="765"/>
      <c r="N11" s="765"/>
      <c r="O11" s="765"/>
      <c r="P11" s="765"/>
      <c r="Q11" s="765"/>
      <c r="R11" s="765"/>
      <c r="S11" s="765"/>
      <c r="T11" s="765"/>
      <c r="U11" s="765"/>
      <c r="V11" s="765"/>
    </row>
    <row r="12" spans="2:22" ht="30.6" customHeight="1" thickBot="1" x14ac:dyDescent="0.3">
      <c r="B12" s="578" t="s">
        <v>444</v>
      </c>
      <c r="C12" s="579">
        <v>46.5</v>
      </c>
      <c r="D12" s="473"/>
      <c r="E12" s="768"/>
      <c r="F12" s="768"/>
      <c r="G12" s="768"/>
      <c r="I12" s="765"/>
      <c r="J12" s="765"/>
      <c r="K12" s="765"/>
      <c r="L12" s="765"/>
      <c r="M12" s="765"/>
      <c r="N12" s="765"/>
      <c r="O12" s="765"/>
      <c r="P12" s="765"/>
      <c r="Q12" s="765"/>
      <c r="R12" s="765"/>
      <c r="S12" s="765"/>
      <c r="T12" s="765"/>
      <c r="U12" s="765"/>
      <c r="V12" s="765"/>
    </row>
    <row r="13" spans="2:22" ht="63" customHeight="1" thickBot="1" x14ac:dyDescent="0.3">
      <c r="B13" s="528" t="s">
        <v>445</v>
      </c>
      <c r="C13" s="525">
        <f>(C8+(C8*(C12))/100)</f>
        <v>4034396594.1824994</v>
      </c>
      <c r="D13" s="473"/>
      <c r="E13" s="765"/>
      <c r="F13" s="765"/>
      <c r="G13" s="765"/>
      <c r="I13" s="765"/>
      <c r="J13" s="765"/>
      <c r="K13" s="766"/>
      <c r="L13" s="765"/>
      <c r="M13" s="765"/>
      <c r="N13" s="765"/>
      <c r="O13" s="765"/>
      <c r="P13" s="765"/>
      <c r="Q13" s="765"/>
      <c r="R13" s="765"/>
      <c r="S13" s="765"/>
      <c r="T13" s="765"/>
      <c r="U13" s="765"/>
      <c r="V13" s="765"/>
    </row>
    <row r="14" spans="2:22" ht="10.9" customHeight="1" thickBot="1" x14ac:dyDescent="0.45">
      <c r="C14" s="466"/>
      <c r="D14" s="473"/>
      <c r="I14" s="765"/>
      <c r="J14" s="765"/>
      <c r="K14" s="766"/>
      <c r="L14" s="765"/>
      <c r="M14" s="765"/>
      <c r="N14" s="765"/>
      <c r="O14" s="765"/>
      <c r="P14" s="765"/>
      <c r="Q14" s="765"/>
      <c r="R14" s="765"/>
      <c r="S14" s="765"/>
      <c r="T14" s="765"/>
      <c r="U14" s="765"/>
      <c r="V14" s="765"/>
    </row>
    <row r="15" spans="2:22" ht="27" customHeight="1" x14ac:dyDescent="0.45">
      <c r="B15" s="591" t="s">
        <v>312</v>
      </c>
      <c r="C15" s="592">
        <v>2.6166999999999998</v>
      </c>
      <c r="D15" s="473"/>
      <c r="E15" s="1425">
        <f>'MASRAF VE RİZİKO'!I11</f>
        <v>33832.326983776235</v>
      </c>
      <c r="F15" s="1426"/>
      <c r="G15" s="1426"/>
      <c r="I15" s="765"/>
      <c r="J15" s="1415"/>
      <c r="K15" s="1416"/>
      <c r="L15" s="765"/>
      <c r="M15" s="765"/>
      <c r="N15" s="765"/>
      <c r="O15" s="765"/>
      <c r="P15" s="765"/>
      <c r="Q15" s="765"/>
      <c r="R15" s="765"/>
      <c r="S15" s="765"/>
      <c r="T15" s="765"/>
      <c r="U15" s="765"/>
      <c r="V15" s="765"/>
    </row>
    <row r="16" spans="2:22" ht="90.75" thickBot="1" x14ac:dyDescent="0.3">
      <c r="B16" s="528" t="s">
        <v>446</v>
      </c>
      <c r="C16" s="580">
        <f>((C13)/'MASRAF VE RİZİKO'!O11)*100</f>
        <v>2.1961206376846976</v>
      </c>
      <c r="D16" s="473"/>
      <c r="E16" s="1427">
        <f>'AYRINTILI BİLGİLER'!O13*(C16/100)</f>
        <v>27441.813706294706</v>
      </c>
      <c r="F16" s="1428"/>
      <c r="G16" s="1428"/>
      <c r="H16" s="456"/>
      <c r="I16" s="765"/>
      <c r="J16" s="1416"/>
      <c r="K16" s="1416"/>
      <c r="L16" s="767"/>
      <c r="M16" s="765"/>
      <c r="N16" s="765"/>
      <c r="O16" s="765"/>
      <c r="P16" s="765"/>
      <c r="Q16" s="765"/>
      <c r="R16" s="765"/>
      <c r="S16" s="765"/>
      <c r="T16" s="765"/>
      <c r="U16" s="765"/>
      <c r="V16" s="765"/>
    </row>
    <row r="17" spans="2:12" ht="46.9" customHeight="1" thickBot="1" x14ac:dyDescent="0.3">
      <c r="D17" s="473"/>
      <c r="E17" s="473"/>
      <c r="L17" s="192"/>
    </row>
    <row r="18" spans="2:12" ht="63.6" customHeight="1" thickBot="1" x14ac:dyDescent="0.3">
      <c r="B18" s="526" t="s">
        <v>428</v>
      </c>
      <c r="C18" s="527">
        <f>E15-E16</f>
        <v>6390.5132774815283</v>
      </c>
      <c r="D18" s="473"/>
      <c r="E18" s="1417" t="s">
        <v>271</v>
      </c>
      <c r="F18" s="1418"/>
      <c r="G18" s="1419"/>
    </row>
    <row r="19" spans="2:12" x14ac:dyDescent="0.25">
      <c r="D19" s="473"/>
      <c r="E19" s="473"/>
    </row>
    <row r="20" spans="2:12" x14ac:dyDescent="0.25">
      <c r="D20" s="473"/>
      <c r="E20" s="473"/>
    </row>
    <row r="21" spans="2:12" x14ac:dyDescent="0.25">
      <c r="D21" s="473"/>
    </row>
    <row r="24" spans="2:12" x14ac:dyDescent="0.25">
      <c r="B24" s="830">
        <v>3384</v>
      </c>
      <c r="C24" s="828" t="s">
        <v>509</v>
      </c>
    </row>
    <row r="25" spans="2:12" x14ac:dyDescent="0.25">
      <c r="B25" s="829">
        <f>B24*0.026167</f>
        <v>88.549127999999996</v>
      </c>
      <c r="C25" s="807" t="s">
        <v>512</v>
      </c>
    </row>
    <row r="26" spans="2:12" x14ac:dyDescent="0.25">
      <c r="B26" s="829">
        <f>B24*0.0775</f>
        <v>262.26</v>
      </c>
      <c r="C26" s="807" t="s">
        <v>510</v>
      </c>
      <c r="D26">
        <f>100-2-7.75</f>
        <v>90.25</v>
      </c>
    </row>
    <row r="27" spans="2:12" x14ac:dyDescent="0.25">
      <c r="B27" s="831">
        <f>B24*0.896333</f>
        <v>3033.1908720000001</v>
      </c>
      <c r="C27" s="807" t="s">
        <v>511</v>
      </c>
    </row>
  </sheetData>
  <mergeCells count="6">
    <mergeCell ref="J15:K16"/>
    <mergeCell ref="E18:G18"/>
    <mergeCell ref="E7:H7"/>
    <mergeCell ref="B1:G2"/>
    <mergeCell ref="E15:G15"/>
    <mergeCell ref="E16:G16"/>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4"/>
  <sheetViews>
    <sheetView workbookViewId="0">
      <selection activeCell="G3" sqref="G3:S34"/>
    </sheetView>
  </sheetViews>
  <sheetFormatPr defaultRowHeight="15" x14ac:dyDescent="0.25"/>
  <cols>
    <col min="2" max="2" width="0" hidden="1" customWidth="1"/>
    <col min="3" max="3" width="5" customWidth="1"/>
    <col min="4" max="4" width="13.7109375" customWidth="1"/>
  </cols>
  <sheetData>
    <row r="1" spans="1:22" ht="14.45" customHeight="1" x14ac:dyDescent="0.25">
      <c r="A1" s="1429" t="s">
        <v>191</v>
      </c>
      <c r="B1" s="1430"/>
      <c r="C1" s="1430"/>
      <c r="D1" s="1430"/>
      <c r="E1" s="1431"/>
    </row>
    <row r="2" spans="1:22" ht="15.75" thickBot="1" x14ac:dyDescent="0.3">
      <c r="A2" s="1432"/>
      <c r="B2" s="1433"/>
      <c r="C2" s="1433"/>
      <c r="D2" s="1433"/>
      <c r="E2" s="1434"/>
    </row>
    <row r="3" spans="1:22" ht="14.45" customHeight="1" x14ac:dyDescent="0.25">
      <c r="A3" s="1435" t="s">
        <v>188</v>
      </c>
      <c r="B3" s="1436"/>
      <c r="C3" s="1436"/>
      <c r="D3" s="1448">
        <f>'AYRINTILI BİLGİLER'!L11</f>
        <v>470935.58152060641</v>
      </c>
      <c r="E3" s="1449"/>
      <c r="G3" s="1443" t="s">
        <v>231</v>
      </c>
      <c r="H3" s="1443"/>
      <c r="I3" s="1443"/>
      <c r="J3" s="1443"/>
      <c r="K3" s="1443"/>
      <c r="L3" s="1443"/>
      <c r="M3" s="1443"/>
      <c r="N3" s="1443"/>
      <c r="O3" s="1443"/>
      <c r="P3" s="1443"/>
      <c r="Q3" s="1443"/>
      <c r="R3" s="1443"/>
      <c r="S3" s="1443"/>
    </row>
    <row r="4" spans="1:22" ht="15" customHeight="1" thickBot="1" x14ac:dyDescent="0.3">
      <c r="A4" s="1437"/>
      <c r="B4" s="1438"/>
      <c r="C4" s="1438"/>
      <c r="D4" s="1450"/>
      <c r="E4" s="1451"/>
      <c r="G4" s="1443"/>
      <c r="H4" s="1443"/>
      <c r="I4" s="1443"/>
      <c r="J4" s="1443"/>
      <c r="K4" s="1443"/>
      <c r="L4" s="1443"/>
      <c r="M4" s="1443"/>
      <c r="N4" s="1443"/>
      <c r="O4" s="1443"/>
      <c r="P4" s="1443"/>
      <c r="Q4" s="1443"/>
      <c r="R4" s="1443"/>
      <c r="S4" s="1443"/>
    </row>
    <row r="5" spans="1:22" ht="14.45" customHeight="1" x14ac:dyDescent="0.25">
      <c r="A5" s="1439" t="s">
        <v>189</v>
      </c>
      <c r="B5" s="1440"/>
      <c r="C5" s="1440"/>
      <c r="D5" s="1452">
        <v>376000</v>
      </c>
      <c r="E5" s="1453"/>
      <c r="G5" s="1443"/>
      <c r="H5" s="1443"/>
      <c r="I5" s="1443"/>
      <c r="J5" s="1443"/>
      <c r="K5" s="1443"/>
      <c r="L5" s="1443"/>
      <c r="M5" s="1443"/>
      <c r="N5" s="1443"/>
      <c r="O5" s="1443"/>
      <c r="P5" s="1443"/>
      <c r="Q5" s="1443"/>
      <c r="R5" s="1443"/>
      <c r="S5" s="1443"/>
    </row>
    <row r="6" spans="1:22" ht="15" customHeight="1" thickBot="1" x14ac:dyDescent="0.3">
      <c r="A6" s="1441"/>
      <c r="B6" s="1442"/>
      <c r="C6" s="1442"/>
      <c r="D6" s="1454"/>
      <c r="E6" s="1455"/>
      <c r="G6" s="1443"/>
      <c r="H6" s="1443"/>
      <c r="I6" s="1443"/>
      <c r="J6" s="1443"/>
      <c r="K6" s="1443"/>
      <c r="L6" s="1443"/>
      <c r="M6" s="1443"/>
      <c r="N6" s="1443"/>
      <c r="O6" s="1443"/>
      <c r="P6" s="1443"/>
      <c r="Q6" s="1443"/>
      <c r="R6" s="1443"/>
      <c r="S6" s="1443"/>
    </row>
    <row r="7" spans="1:22" ht="15.75" thickBot="1" x14ac:dyDescent="0.3">
      <c r="G7" s="1443"/>
      <c r="H7" s="1443"/>
      <c r="I7" s="1443"/>
      <c r="J7" s="1443"/>
      <c r="K7" s="1443"/>
      <c r="L7" s="1443"/>
      <c r="M7" s="1443"/>
      <c r="N7" s="1443"/>
      <c r="O7" s="1443"/>
      <c r="P7" s="1443"/>
      <c r="Q7" s="1443"/>
      <c r="R7" s="1443"/>
      <c r="S7" s="1443"/>
    </row>
    <row r="8" spans="1:22" ht="14.45" customHeight="1" x14ac:dyDescent="0.25">
      <c r="A8" s="1444" t="s">
        <v>190</v>
      </c>
      <c r="B8" s="1445"/>
      <c r="C8" s="1445"/>
      <c r="D8" s="1456">
        <f>D3+D5</f>
        <v>846935.58152060641</v>
      </c>
      <c r="E8" s="1457"/>
      <c r="G8" s="1443"/>
      <c r="H8" s="1443"/>
      <c r="I8" s="1443"/>
      <c r="J8" s="1443"/>
      <c r="K8" s="1443"/>
      <c r="L8" s="1443"/>
      <c r="M8" s="1443"/>
      <c r="N8" s="1443"/>
      <c r="O8" s="1443"/>
      <c r="P8" s="1443"/>
      <c r="Q8" s="1443"/>
      <c r="R8" s="1443"/>
      <c r="S8" s="1443"/>
    </row>
    <row r="9" spans="1:22" ht="49.15" customHeight="1" thickBot="1" x14ac:dyDescent="0.3">
      <c r="A9" s="1446"/>
      <c r="B9" s="1447"/>
      <c r="C9" s="1447"/>
      <c r="D9" s="1458"/>
      <c r="E9" s="1459"/>
      <c r="G9" s="1443"/>
      <c r="H9" s="1443"/>
      <c r="I9" s="1443"/>
      <c r="J9" s="1443"/>
      <c r="K9" s="1443"/>
      <c r="L9" s="1443"/>
      <c r="M9" s="1443"/>
      <c r="N9" s="1443"/>
      <c r="O9" s="1443"/>
      <c r="P9" s="1443"/>
      <c r="Q9" s="1443"/>
      <c r="R9" s="1443"/>
      <c r="S9" s="1443"/>
    </row>
    <row r="10" spans="1:22" x14ac:dyDescent="0.25">
      <c r="G10" s="1443"/>
      <c r="H10" s="1443"/>
      <c r="I10" s="1443"/>
      <c r="J10" s="1443"/>
      <c r="K10" s="1443"/>
      <c r="L10" s="1443"/>
      <c r="M10" s="1443"/>
      <c r="N10" s="1443"/>
      <c r="O10" s="1443"/>
      <c r="P10" s="1443"/>
      <c r="Q10" s="1443"/>
      <c r="R10" s="1443"/>
      <c r="S10" s="1443"/>
    </row>
    <row r="11" spans="1:22" x14ac:dyDescent="0.25">
      <c r="G11" s="1443"/>
      <c r="H11" s="1443"/>
      <c r="I11" s="1443"/>
      <c r="J11" s="1443"/>
      <c r="K11" s="1443"/>
      <c r="L11" s="1443"/>
      <c r="M11" s="1443"/>
      <c r="N11" s="1443"/>
      <c r="O11" s="1443"/>
      <c r="P11" s="1443"/>
      <c r="Q11" s="1443"/>
      <c r="R11" s="1443"/>
      <c r="S11" s="1443"/>
    </row>
    <row r="12" spans="1:22" x14ac:dyDescent="0.25">
      <c r="G12" s="1443"/>
      <c r="H12" s="1443"/>
      <c r="I12" s="1443"/>
      <c r="J12" s="1443"/>
      <c r="K12" s="1443"/>
      <c r="L12" s="1443"/>
      <c r="M12" s="1443"/>
      <c r="N12" s="1443"/>
      <c r="O12" s="1443"/>
      <c r="P12" s="1443"/>
      <c r="Q12" s="1443"/>
      <c r="R12" s="1443"/>
      <c r="S12" s="1443"/>
    </row>
    <row r="13" spans="1:22" x14ac:dyDescent="0.25">
      <c r="G13" s="1443"/>
      <c r="H13" s="1443"/>
      <c r="I13" s="1443"/>
      <c r="J13" s="1443"/>
      <c r="K13" s="1443"/>
      <c r="L13" s="1443"/>
      <c r="M13" s="1443"/>
      <c r="N13" s="1443"/>
      <c r="O13" s="1443"/>
      <c r="P13" s="1443"/>
      <c r="Q13" s="1443"/>
      <c r="R13" s="1443"/>
      <c r="S13" s="1443"/>
      <c r="V13" s="429"/>
    </row>
    <row r="14" spans="1:22" x14ac:dyDescent="0.25">
      <c r="G14" s="1443"/>
      <c r="H14" s="1443"/>
      <c r="I14" s="1443"/>
      <c r="J14" s="1443"/>
      <c r="K14" s="1443"/>
      <c r="L14" s="1443"/>
      <c r="M14" s="1443"/>
      <c r="N14" s="1443"/>
      <c r="O14" s="1443"/>
      <c r="P14" s="1443"/>
      <c r="Q14" s="1443"/>
      <c r="R14" s="1443"/>
      <c r="S14" s="1443"/>
    </row>
    <row r="15" spans="1:22" x14ac:dyDescent="0.25">
      <c r="G15" s="1443"/>
      <c r="H15" s="1443"/>
      <c r="I15" s="1443"/>
      <c r="J15" s="1443"/>
      <c r="K15" s="1443"/>
      <c r="L15" s="1443"/>
      <c r="M15" s="1443"/>
      <c r="N15" s="1443"/>
      <c r="O15" s="1443"/>
      <c r="P15" s="1443"/>
      <c r="Q15" s="1443"/>
      <c r="R15" s="1443"/>
      <c r="S15" s="1443"/>
    </row>
    <row r="16" spans="1:22" x14ac:dyDescent="0.25">
      <c r="G16" s="1443"/>
      <c r="H16" s="1443"/>
      <c r="I16" s="1443"/>
      <c r="J16" s="1443"/>
      <c r="K16" s="1443"/>
      <c r="L16" s="1443"/>
      <c r="M16" s="1443"/>
      <c r="N16" s="1443"/>
      <c r="O16" s="1443"/>
      <c r="P16" s="1443"/>
      <c r="Q16" s="1443"/>
      <c r="R16" s="1443"/>
      <c r="S16" s="1443"/>
    </row>
    <row r="17" spans="7:19" x14ac:dyDescent="0.25">
      <c r="G17" s="1443"/>
      <c r="H17" s="1443"/>
      <c r="I17" s="1443"/>
      <c r="J17" s="1443"/>
      <c r="K17" s="1443"/>
      <c r="L17" s="1443"/>
      <c r="M17" s="1443"/>
      <c r="N17" s="1443"/>
      <c r="O17" s="1443"/>
      <c r="P17" s="1443"/>
      <c r="Q17" s="1443"/>
      <c r="R17" s="1443"/>
      <c r="S17" s="1443"/>
    </row>
    <row r="18" spans="7:19" x14ac:dyDescent="0.25">
      <c r="G18" s="1443"/>
      <c r="H18" s="1443"/>
      <c r="I18" s="1443"/>
      <c r="J18" s="1443"/>
      <c r="K18" s="1443"/>
      <c r="L18" s="1443"/>
      <c r="M18" s="1443"/>
      <c r="N18" s="1443"/>
      <c r="O18" s="1443"/>
      <c r="P18" s="1443"/>
      <c r="Q18" s="1443"/>
      <c r="R18" s="1443"/>
      <c r="S18" s="1443"/>
    </row>
    <row r="19" spans="7:19" x14ac:dyDescent="0.25">
      <c r="G19" s="1443"/>
      <c r="H19" s="1443"/>
      <c r="I19" s="1443"/>
      <c r="J19" s="1443"/>
      <c r="K19" s="1443"/>
      <c r="L19" s="1443"/>
      <c r="M19" s="1443"/>
      <c r="N19" s="1443"/>
      <c r="O19" s="1443"/>
      <c r="P19" s="1443"/>
      <c r="Q19" s="1443"/>
      <c r="R19" s="1443"/>
      <c r="S19" s="1443"/>
    </row>
    <row r="20" spans="7:19" x14ac:dyDescent="0.25">
      <c r="G20" s="1443"/>
      <c r="H20" s="1443"/>
      <c r="I20" s="1443"/>
      <c r="J20" s="1443"/>
      <c r="K20" s="1443"/>
      <c r="L20" s="1443"/>
      <c r="M20" s="1443"/>
      <c r="N20" s="1443"/>
      <c r="O20" s="1443"/>
      <c r="P20" s="1443"/>
      <c r="Q20" s="1443"/>
      <c r="R20" s="1443"/>
      <c r="S20" s="1443"/>
    </row>
    <row r="21" spans="7:19" x14ac:dyDescent="0.25">
      <c r="G21" s="1443"/>
      <c r="H21" s="1443"/>
      <c r="I21" s="1443"/>
      <c r="J21" s="1443"/>
      <c r="K21" s="1443"/>
      <c r="L21" s="1443"/>
      <c r="M21" s="1443"/>
      <c r="N21" s="1443"/>
      <c r="O21" s="1443"/>
      <c r="P21" s="1443"/>
      <c r="Q21" s="1443"/>
      <c r="R21" s="1443"/>
      <c r="S21" s="1443"/>
    </row>
    <row r="22" spans="7:19" x14ac:dyDescent="0.25">
      <c r="G22" s="1443"/>
      <c r="H22" s="1443"/>
      <c r="I22" s="1443"/>
      <c r="J22" s="1443"/>
      <c r="K22" s="1443"/>
      <c r="L22" s="1443"/>
      <c r="M22" s="1443"/>
      <c r="N22" s="1443"/>
      <c r="O22" s="1443"/>
      <c r="P22" s="1443"/>
      <c r="Q22" s="1443"/>
      <c r="R22" s="1443"/>
      <c r="S22" s="1443"/>
    </row>
    <row r="23" spans="7:19" x14ac:dyDescent="0.25">
      <c r="G23" s="1443"/>
      <c r="H23" s="1443"/>
      <c r="I23" s="1443"/>
      <c r="J23" s="1443"/>
      <c r="K23" s="1443"/>
      <c r="L23" s="1443"/>
      <c r="M23" s="1443"/>
      <c r="N23" s="1443"/>
      <c r="O23" s="1443"/>
      <c r="P23" s="1443"/>
      <c r="Q23" s="1443"/>
      <c r="R23" s="1443"/>
      <c r="S23" s="1443"/>
    </row>
    <row r="24" spans="7:19" x14ac:dyDescent="0.25">
      <c r="G24" s="1443"/>
      <c r="H24" s="1443"/>
      <c r="I24" s="1443"/>
      <c r="J24" s="1443"/>
      <c r="K24" s="1443"/>
      <c r="L24" s="1443"/>
      <c r="M24" s="1443"/>
      <c r="N24" s="1443"/>
      <c r="O24" s="1443"/>
      <c r="P24" s="1443"/>
      <c r="Q24" s="1443"/>
      <c r="R24" s="1443"/>
      <c r="S24" s="1443"/>
    </row>
    <row r="25" spans="7:19" x14ac:dyDescent="0.25">
      <c r="G25" s="1443"/>
      <c r="H25" s="1443"/>
      <c r="I25" s="1443"/>
      <c r="J25" s="1443"/>
      <c r="K25" s="1443"/>
      <c r="L25" s="1443"/>
      <c r="M25" s="1443"/>
      <c r="N25" s="1443"/>
      <c r="O25" s="1443"/>
      <c r="P25" s="1443"/>
      <c r="Q25" s="1443"/>
      <c r="R25" s="1443"/>
      <c r="S25" s="1443"/>
    </row>
    <row r="26" spans="7:19" x14ac:dyDescent="0.25">
      <c r="G26" s="1443"/>
      <c r="H26" s="1443"/>
      <c r="I26" s="1443"/>
      <c r="J26" s="1443"/>
      <c r="K26" s="1443"/>
      <c r="L26" s="1443"/>
      <c r="M26" s="1443"/>
      <c r="N26" s="1443"/>
      <c r="O26" s="1443"/>
      <c r="P26" s="1443"/>
      <c r="Q26" s="1443"/>
      <c r="R26" s="1443"/>
      <c r="S26" s="1443"/>
    </row>
    <row r="27" spans="7:19" x14ac:dyDescent="0.25">
      <c r="G27" s="1443"/>
      <c r="H27" s="1443"/>
      <c r="I27" s="1443"/>
      <c r="J27" s="1443"/>
      <c r="K27" s="1443"/>
      <c r="L27" s="1443"/>
      <c r="M27" s="1443"/>
      <c r="N27" s="1443"/>
      <c r="O27" s="1443"/>
      <c r="P27" s="1443"/>
      <c r="Q27" s="1443"/>
      <c r="R27" s="1443"/>
      <c r="S27" s="1443"/>
    </row>
    <row r="28" spans="7:19" x14ac:dyDescent="0.25">
      <c r="G28" s="1443"/>
      <c r="H28" s="1443"/>
      <c r="I28" s="1443"/>
      <c r="J28" s="1443"/>
      <c r="K28" s="1443"/>
      <c r="L28" s="1443"/>
      <c r="M28" s="1443"/>
      <c r="N28" s="1443"/>
      <c r="O28" s="1443"/>
      <c r="P28" s="1443"/>
      <c r="Q28" s="1443"/>
      <c r="R28" s="1443"/>
      <c r="S28" s="1443"/>
    </row>
    <row r="29" spans="7:19" x14ac:dyDescent="0.25">
      <c r="G29" s="1443"/>
      <c r="H29" s="1443"/>
      <c r="I29" s="1443"/>
      <c r="J29" s="1443"/>
      <c r="K29" s="1443"/>
      <c r="L29" s="1443"/>
      <c r="M29" s="1443"/>
      <c r="N29" s="1443"/>
      <c r="O29" s="1443"/>
      <c r="P29" s="1443"/>
      <c r="Q29" s="1443"/>
      <c r="R29" s="1443"/>
      <c r="S29" s="1443"/>
    </row>
    <row r="30" spans="7:19" x14ac:dyDescent="0.25">
      <c r="G30" s="1443"/>
      <c r="H30" s="1443"/>
      <c r="I30" s="1443"/>
      <c r="J30" s="1443"/>
      <c r="K30" s="1443"/>
      <c r="L30" s="1443"/>
      <c r="M30" s="1443"/>
      <c r="N30" s="1443"/>
      <c r="O30" s="1443"/>
      <c r="P30" s="1443"/>
      <c r="Q30" s="1443"/>
      <c r="R30" s="1443"/>
      <c r="S30" s="1443"/>
    </row>
    <row r="31" spans="7:19" x14ac:dyDescent="0.25">
      <c r="G31" s="1443"/>
      <c r="H31" s="1443"/>
      <c r="I31" s="1443"/>
      <c r="J31" s="1443"/>
      <c r="K31" s="1443"/>
      <c r="L31" s="1443"/>
      <c r="M31" s="1443"/>
      <c r="N31" s="1443"/>
      <c r="O31" s="1443"/>
      <c r="P31" s="1443"/>
      <c r="Q31" s="1443"/>
      <c r="R31" s="1443"/>
      <c r="S31" s="1443"/>
    </row>
    <row r="32" spans="7:19" x14ac:dyDescent="0.25">
      <c r="G32" s="1443"/>
      <c r="H32" s="1443"/>
      <c r="I32" s="1443"/>
      <c r="J32" s="1443"/>
      <c r="K32" s="1443"/>
      <c r="L32" s="1443"/>
      <c r="M32" s="1443"/>
      <c r="N32" s="1443"/>
      <c r="O32" s="1443"/>
      <c r="P32" s="1443"/>
      <c r="Q32" s="1443"/>
      <c r="R32" s="1443"/>
      <c r="S32" s="1443"/>
    </row>
    <row r="33" spans="7:19" x14ac:dyDescent="0.25">
      <c r="G33" s="1443"/>
      <c r="H33" s="1443"/>
      <c r="I33" s="1443"/>
      <c r="J33" s="1443"/>
      <c r="K33" s="1443"/>
      <c r="L33" s="1443"/>
      <c r="M33" s="1443"/>
      <c r="N33" s="1443"/>
      <c r="O33" s="1443"/>
      <c r="P33" s="1443"/>
      <c r="Q33" s="1443"/>
      <c r="R33" s="1443"/>
      <c r="S33" s="1443"/>
    </row>
    <row r="34" spans="7:19" x14ac:dyDescent="0.25">
      <c r="G34" s="1443"/>
      <c r="H34" s="1443"/>
      <c r="I34" s="1443"/>
      <c r="J34" s="1443"/>
      <c r="K34" s="1443"/>
      <c r="L34" s="1443"/>
      <c r="M34" s="1443"/>
      <c r="N34" s="1443"/>
      <c r="O34" s="1443"/>
      <c r="P34" s="1443"/>
      <c r="Q34" s="1443"/>
      <c r="R34" s="1443"/>
      <c r="S34" s="1443"/>
    </row>
  </sheetData>
  <mergeCells count="8">
    <mergeCell ref="A1:E2"/>
    <mergeCell ref="A3:C4"/>
    <mergeCell ref="A5:C6"/>
    <mergeCell ref="G3:S34"/>
    <mergeCell ref="A8:C9"/>
    <mergeCell ref="D3:E4"/>
    <mergeCell ref="D5:E6"/>
    <mergeCell ref="D8:E9"/>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9"/>
  <sheetViews>
    <sheetView topLeftCell="A33" zoomScale="79" zoomScaleNormal="79" workbookViewId="0">
      <selection activeCell="C7" sqref="C7"/>
    </sheetView>
  </sheetViews>
  <sheetFormatPr defaultRowHeight="15" x14ac:dyDescent="0.25"/>
  <cols>
    <col min="2" max="2" width="18.28515625" customWidth="1"/>
    <col min="3" max="3" width="18.85546875" customWidth="1"/>
    <col min="4" max="4" width="16.7109375" customWidth="1"/>
    <col min="5" max="5" width="12.7109375" customWidth="1"/>
    <col min="6" max="6" width="15.7109375" customWidth="1"/>
    <col min="7" max="7" width="11.85546875" bestFit="1" customWidth="1"/>
    <col min="8" max="8" width="14" customWidth="1"/>
    <col min="10" max="10" width="19.28515625" customWidth="1"/>
    <col min="11" max="11" width="11.140625" customWidth="1"/>
    <col min="12" max="12" width="10.42578125" bestFit="1" customWidth="1"/>
    <col min="13" max="13" width="14.28515625" customWidth="1"/>
    <col min="14" max="14" width="12.28515625" customWidth="1"/>
    <col min="15" max="15" width="11.42578125" customWidth="1"/>
    <col min="16" max="16" width="11.85546875" customWidth="1"/>
    <col min="17" max="17" width="10.7109375" customWidth="1"/>
    <col min="18" max="18" width="10.28515625" customWidth="1"/>
    <col min="19" max="19" width="11.28515625" customWidth="1"/>
  </cols>
  <sheetData>
    <row r="1" spans="1:19" ht="81" customHeight="1" thickBot="1" x14ac:dyDescent="0.3">
      <c r="A1" s="1463" t="s">
        <v>120</v>
      </c>
      <c r="B1" s="1463"/>
      <c r="C1" s="1463"/>
      <c r="D1" s="1463"/>
      <c r="E1" s="1463"/>
      <c r="F1" s="1463"/>
      <c r="G1" s="1463"/>
      <c r="H1" s="1464"/>
    </row>
    <row r="2" spans="1:19" ht="61.15" customHeight="1" thickTop="1" thickBot="1" x14ac:dyDescent="0.3">
      <c r="A2" s="1465"/>
      <c r="B2" s="1465"/>
      <c r="C2" s="1465"/>
      <c r="D2" s="1465"/>
      <c r="E2" s="1465"/>
      <c r="F2" s="1465"/>
      <c r="G2" s="1465"/>
      <c r="H2" s="1465"/>
      <c r="J2" s="1460" t="s">
        <v>105</v>
      </c>
      <c r="K2" s="1460"/>
      <c r="L2" s="1460"/>
      <c r="M2" s="138" t="s">
        <v>167</v>
      </c>
      <c r="N2" s="139" t="s">
        <v>51</v>
      </c>
      <c r="O2" s="139" t="s">
        <v>7</v>
      </c>
      <c r="P2" s="140" t="s">
        <v>52</v>
      </c>
    </row>
    <row r="3" spans="1:19" ht="16.5" thickTop="1" thickBot="1" x14ac:dyDescent="0.3">
      <c r="B3" s="190" t="s">
        <v>121</v>
      </c>
      <c r="C3" s="190" t="str">
        <f>'AYRINTILI BİLGİLER'!C3</f>
        <v>ÖRNEK ÜYE</v>
      </c>
      <c r="J3" s="1460"/>
      <c r="K3" s="1460"/>
      <c r="L3" s="1460"/>
      <c r="M3" s="135">
        <f>F6</f>
        <v>27.2</v>
      </c>
      <c r="N3" s="136">
        <v>50</v>
      </c>
      <c r="O3" s="134">
        <f>((M3-5)*N3/100+5)</f>
        <v>16.100000000000001</v>
      </c>
      <c r="P3" s="137">
        <f>O3*100/M3</f>
        <v>59.191176470588246</v>
      </c>
    </row>
    <row r="4" spans="1:19" ht="48" customHeight="1" thickTop="1" x14ac:dyDescent="0.25">
      <c r="C4" s="115" t="s">
        <v>38</v>
      </c>
      <c r="D4" s="48" t="s">
        <v>37</v>
      </c>
      <c r="E4" s="1483" t="s">
        <v>79</v>
      </c>
      <c r="F4" s="1483" t="s">
        <v>40</v>
      </c>
      <c r="G4" s="1479" t="s">
        <v>119</v>
      </c>
      <c r="H4" s="1480"/>
      <c r="J4" s="1461" t="s">
        <v>106</v>
      </c>
      <c r="K4" s="1461"/>
      <c r="L4" s="1461"/>
      <c r="M4" s="1461"/>
      <c r="N4" s="1461"/>
      <c r="O4" s="1461"/>
      <c r="P4" s="1461"/>
      <c r="Q4" s="1461"/>
      <c r="R4" s="1461"/>
      <c r="S4" s="1461"/>
    </row>
    <row r="5" spans="1:19" ht="48.6" customHeight="1" x14ac:dyDescent="0.25">
      <c r="B5" s="43" t="s">
        <v>159</v>
      </c>
      <c r="C5" s="44"/>
      <c r="D5" s="51">
        <f>'AYRINTILI BİLGİLER'!E5</f>
        <v>0</v>
      </c>
      <c r="E5" s="1484"/>
      <c r="F5" s="1484"/>
      <c r="G5" s="1481"/>
      <c r="H5" s="1482"/>
      <c r="J5" s="153" t="s">
        <v>89</v>
      </c>
      <c r="K5" s="153" t="s">
        <v>88</v>
      </c>
      <c r="L5" s="153" t="s">
        <v>87</v>
      </c>
      <c r="M5" s="153" t="s">
        <v>90</v>
      </c>
      <c r="N5" s="153" t="s">
        <v>91</v>
      </c>
      <c r="O5" s="153" t="s">
        <v>92</v>
      </c>
      <c r="P5" s="153" t="s">
        <v>93</v>
      </c>
      <c r="Q5" s="153" t="s">
        <v>94</v>
      </c>
      <c r="R5" s="153" t="s">
        <v>95</v>
      </c>
      <c r="S5" s="153" t="s">
        <v>96</v>
      </c>
    </row>
    <row r="6" spans="1:19" ht="51" x14ac:dyDescent="0.25">
      <c r="B6" s="45" t="s">
        <v>39</v>
      </c>
      <c r="C6" s="49">
        <f>'AYRINTILI BİLGİLER'!D6</f>
        <v>562162</v>
      </c>
      <c r="D6" s="50">
        <f>'AYRINTILI BİLGİLER'!E6</f>
        <v>6641</v>
      </c>
      <c r="E6" s="50">
        <f>'AYRINTILI BİLGİLER'!F6</f>
        <v>50</v>
      </c>
      <c r="F6" s="215">
        <f>'AYRINTILI BİLGİLER'!G6</f>
        <v>27.2</v>
      </c>
      <c r="G6" s="125" t="s">
        <v>76</v>
      </c>
      <c r="H6" s="188" cm="1">
        <f t="array" ref="H6:I6">'AYRINTILI BİLGİLER'!W3:X3</f>
        <v>0</v>
      </c>
      <c r="I6">
        <v>0</v>
      </c>
      <c r="J6" s="158">
        <f>IF(50,I20)</f>
        <v>1328.2</v>
      </c>
      <c r="K6" s="158">
        <f>IF(40,I22)</f>
        <v>1540.6354466858793</v>
      </c>
      <c r="L6" s="158">
        <f>IF(35,I24)</f>
        <v>1674.5512920908379</v>
      </c>
      <c r="M6" s="158">
        <f>IF(30,I26)</f>
        <v>1833.9639794168097</v>
      </c>
      <c r="N6" s="158">
        <f>IF(25,I28)</f>
        <v>2026.9213270142184</v>
      </c>
      <c r="O6" s="158">
        <f>IF(20,I30)</f>
        <v>2265.2563559322039</v>
      </c>
      <c r="P6" s="158">
        <f>IF(15,I32)</f>
        <v>2567.1092436974795</v>
      </c>
      <c r="Q6" s="158">
        <f>IF(10,I34)</f>
        <v>2961.7756232686984</v>
      </c>
      <c r="R6" s="158">
        <f>IF(5,I36)</f>
        <v>3499.8396072013102</v>
      </c>
      <c r="S6" s="158">
        <f>IF(1,I38)</f>
        <v>4094.9865951742636</v>
      </c>
    </row>
    <row r="7" spans="1:19" ht="51" x14ac:dyDescent="0.25">
      <c r="B7" s="110" t="s">
        <v>158</v>
      </c>
      <c r="C7" s="107">
        <f>'AYRINTILI BİLGİLER'!D7</f>
        <v>831266</v>
      </c>
      <c r="D7" s="108">
        <f>'AYRINTILI BİLGİLER'!E7</f>
        <v>22386</v>
      </c>
      <c r="E7" s="108">
        <f>'AYRINTILI BİLGİLER'!F7</f>
        <v>50</v>
      </c>
      <c r="F7" s="109">
        <f>'AYRINTILI BİLGİLER'!G7</f>
        <v>83.5</v>
      </c>
      <c r="G7" s="126" t="s">
        <v>160</v>
      </c>
      <c r="H7" s="189">
        <f>D6</f>
        <v>6641</v>
      </c>
    </row>
    <row r="8" spans="1:19" ht="7.15" customHeight="1" x14ac:dyDescent="0.25">
      <c r="B8" s="111"/>
      <c r="C8" s="112"/>
      <c r="D8" s="112"/>
      <c r="E8" s="112"/>
      <c r="F8" s="112"/>
    </row>
    <row r="9" spans="1:19" ht="6" customHeight="1" x14ac:dyDescent="0.25">
      <c r="B9" s="85"/>
      <c r="C9" s="113"/>
      <c r="D9" s="113"/>
      <c r="E9" s="113"/>
      <c r="F9" s="113"/>
    </row>
    <row r="10" spans="1:19" ht="6" customHeight="1" x14ac:dyDescent="0.25">
      <c r="B10" s="85"/>
      <c r="C10" s="113"/>
      <c r="D10" s="113"/>
      <c r="E10" s="113"/>
      <c r="F10" s="113"/>
    </row>
    <row r="11" spans="1:19" ht="6" customHeight="1" x14ac:dyDescent="0.25">
      <c r="O11" s="192" t="e">
        <f>(E4+'GİRDİ SEKMESİ'!H20)</f>
        <v>#VALUE!</v>
      </c>
    </row>
    <row r="12" spans="1:19" ht="72.599999999999994" customHeight="1" x14ac:dyDescent="0.25">
      <c r="B12" s="1472"/>
      <c r="C12" s="1472"/>
      <c r="D12" s="1472"/>
      <c r="E12" s="1472"/>
      <c r="F12" s="1472"/>
      <c r="G12" s="1472"/>
      <c r="H12" s="1472"/>
      <c r="J12" s="193"/>
    </row>
    <row r="13" spans="1:19" ht="14.45" customHeight="1" x14ac:dyDescent="0.25">
      <c r="B13" s="1473"/>
      <c r="C13" s="1474"/>
      <c r="D13" s="1474"/>
      <c r="E13" s="1474"/>
      <c r="F13" s="1474"/>
      <c r="G13" s="1474"/>
      <c r="H13" s="1475"/>
      <c r="J13" s="1485"/>
    </row>
    <row r="14" spans="1:19" x14ac:dyDescent="0.25">
      <c r="B14" s="1476"/>
      <c r="C14" s="1477"/>
      <c r="D14" s="1477"/>
      <c r="E14" s="1477"/>
      <c r="F14" s="1477"/>
      <c r="G14" s="1477"/>
      <c r="H14" s="1478"/>
      <c r="J14" s="1486"/>
    </row>
    <row r="15" spans="1:19" ht="47.45" customHeight="1" thickBot="1" x14ac:dyDescent="0.3">
      <c r="B15" s="1476"/>
      <c r="C15" s="1477"/>
      <c r="D15" s="1477"/>
      <c r="E15" s="1477"/>
      <c r="F15" s="1477"/>
      <c r="G15" s="1477"/>
      <c r="H15" s="1478"/>
    </row>
    <row r="16" spans="1:19" x14ac:dyDescent="0.25">
      <c r="B16" s="1466"/>
      <c r="C16" s="1467"/>
      <c r="D16" s="1467"/>
      <c r="E16" s="1467"/>
      <c r="F16" s="1467"/>
      <c r="G16" s="1467"/>
      <c r="H16" s="1468"/>
    </row>
    <row r="17" spans="2:18" ht="15.75" thickBot="1" x14ac:dyDescent="0.3">
      <c r="B17" s="1469"/>
      <c r="C17" s="1470"/>
      <c r="D17" s="1470"/>
      <c r="E17" s="1470"/>
      <c r="F17" s="1470"/>
      <c r="G17" s="1470"/>
      <c r="H17" s="1471"/>
    </row>
    <row r="18" spans="2:18" ht="58.15" customHeight="1" thickTop="1" thickBot="1" x14ac:dyDescent="0.3">
      <c r="B18" s="1462" t="s">
        <v>168</v>
      </c>
      <c r="C18" s="1462"/>
      <c r="D18" s="1462"/>
      <c r="E18" s="1462"/>
      <c r="F18" s="1462"/>
      <c r="G18" s="1462"/>
      <c r="H18" s="1462"/>
      <c r="I18" s="1462"/>
    </row>
    <row r="19" spans="2:18" ht="52.5" thickTop="1" thickBot="1" x14ac:dyDescent="0.3">
      <c r="B19" s="165" t="s">
        <v>85</v>
      </c>
      <c r="C19" s="166" t="s">
        <v>86</v>
      </c>
      <c r="D19" s="167" t="s">
        <v>7</v>
      </c>
      <c r="F19" s="168" t="s">
        <v>84</v>
      </c>
      <c r="G19" s="169" t="s">
        <v>81</v>
      </c>
      <c r="H19" s="169" t="s">
        <v>82</v>
      </c>
      <c r="I19" s="141" t="s">
        <v>83</v>
      </c>
    </row>
    <row r="20" spans="2:18" ht="27" thickBot="1" x14ac:dyDescent="0.3">
      <c r="B20" s="144">
        <v>50</v>
      </c>
      <c r="C20" s="145">
        <f>(D20*100)/F6</f>
        <v>59.191176470588246</v>
      </c>
      <c r="D20" s="146">
        <f>(F6-5)/2+5</f>
        <v>16.100000000000001</v>
      </c>
      <c r="E20" s="144">
        <v>50</v>
      </c>
      <c r="F20" s="142">
        <f>D6*12/(C20/100)</f>
        <v>134634.93167701861</v>
      </c>
      <c r="G20" s="142">
        <f>(F20*C20)/100/12</f>
        <v>6641</v>
      </c>
      <c r="H20" s="143">
        <f>G20*10</f>
        <v>66410</v>
      </c>
      <c r="I20" s="143">
        <f>H20*0.02</f>
        <v>1328.2</v>
      </c>
      <c r="K20" s="144"/>
      <c r="L20" s="145"/>
      <c r="M20" s="146"/>
      <c r="N20" s="144"/>
      <c r="O20" s="260"/>
      <c r="P20" s="142"/>
      <c r="Q20" s="143"/>
      <c r="R20" s="143"/>
    </row>
    <row r="21" spans="2:18" ht="15.75" thickBot="1" x14ac:dyDescent="0.3">
      <c r="B21" s="144">
        <v>50</v>
      </c>
      <c r="C21" s="150">
        <f>(D21*100)/F6</f>
        <v>40.808823529411768</v>
      </c>
      <c r="D21" s="147">
        <f>(F6-5)/2</f>
        <v>11.1</v>
      </c>
    </row>
    <row r="22" spans="2:18" ht="27" thickBot="1" x14ac:dyDescent="0.3">
      <c r="B22" s="148">
        <v>40</v>
      </c>
      <c r="C22" s="145">
        <f>(D22*100)/F6</f>
        <v>51.029411764705884</v>
      </c>
      <c r="D22" s="146">
        <f>(F6-5)*B22/100+5</f>
        <v>13.88</v>
      </c>
      <c r="E22" s="148">
        <v>40</v>
      </c>
      <c r="F22" s="142">
        <f>(100*D6*12)/C22</f>
        <v>156168.76080691643</v>
      </c>
      <c r="G22" s="142">
        <f>(F22*C20)/100/12</f>
        <v>7703.1772334293964</v>
      </c>
      <c r="H22" s="143">
        <f>G22*10</f>
        <v>77031.772334293957</v>
      </c>
      <c r="I22" s="143">
        <f>H22*0.02</f>
        <v>1540.6354466858793</v>
      </c>
    </row>
    <row r="23" spans="2:18" ht="15.75" thickBot="1" x14ac:dyDescent="0.3">
      <c r="B23" s="148">
        <v>60</v>
      </c>
      <c r="C23" s="150">
        <f>(D23*100)/F6</f>
        <v>48.970588235294116</v>
      </c>
      <c r="D23" s="146">
        <f>(F6-5)*B23/100</f>
        <v>13.32</v>
      </c>
    </row>
    <row r="24" spans="2:18" ht="27" thickBot="1" x14ac:dyDescent="0.3">
      <c r="B24" s="144">
        <v>35</v>
      </c>
      <c r="C24" s="145">
        <f>(D24*100)/F6</f>
        <v>46.94852941176471</v>
      </c>
      <c r="D24" s="146">
        <f>(F6-5)*B24/100+5</f>
        <v>12.77</v>
      </c>
      <c r="E24" s="144">
        <v>35</v>
      </c>
      <c r="F24" s="142">
        <f>(100*D6*12)/C24</f>
        <v>169743.33594361783</v>
      </c>
      <c r="G24" s="142">
        <f>(F24*C20)/100/12</f>
        <v>8372.7564604541894</v>
      </c>
      <c r="H24" s="143">
        <f>G24*10</f>
        <v>83727.564604541898</v>
      </c>
      <c r="I24" s="143">
        <f>H24*0.02</f>
        <v>1674.5512920908379</v>
      </c>
    </row>
    <row r="25" spans="2:18" ht="15.75" thickBot="1" x14ac:dyDescent="0.3">
      <c r="B25" s="144">
        <v>65</v>
      </c>
      <c r="C25" s="150">
        <f>(D25*100)/F6</f>
        <v>53.051470588235297</v>
      </c>
      <c r="D25" s="146">
        <f>(F6-5)*B25/100</f>
        <v>14.43</v>
      </c>
    </row>
    <row r="26" spans="2:18" ht="27" thickBot="1" x14ac:dyDescent="0.3">
      <c r="B26" s="148">
        <v>30</v>
      </c>
      <c r="C26" s="145">
        <f>(D26*100)/F6</f>
        <v>42.867647058823529</v>
      </c>
      <c r="D26" s="146">
        <f>(F6-5)*B26/100+5</f>
        <v>11.66</v>
      </c>
      <c r="E26" s="148">
        <v>30</v>
      </c>
      <c r="F26" s="142">
        <f>(100*D6*12)/C26</f>
        <v>185902.43567753001</v>
      </c>
      <c r="G26" s="142">
        <f>(F26*C20)/100/12</f>
        <v>9169.8198970840494</v>
      </c>
      <c r="H26" s="143">
        <f>G26*10</f>
        <v>91698.198970840487</v>
      </c>
      <c r="I26" s="143">
        <f>H26*0.02</f>
        <v>1833.9639794168097</v>
      </c>
    </row>
    <row r="27" spans="2:18" ht="15.75" thickBot="1" x14ac:dyDescent="0.3">
      <c r="B27" s="148">
        <v>70</v>
      </c>
      <c r="C27" s="150">
        <f>(D27*100)/F6</f>
        <v>57.132352941176471</v>
      </c>
      <c r="D27" s="146">
        <f>(F6-5)*B27/100</f>
        <v>15.54</v>
      </c>
    </row>
    <row r="28" spans="2:18" ht="27" thickBot="1" x14ac:dyDescent="0.3">
      <c r="B28" s="149">
        <v>25</v>
      </c>
      <c r="C28" s="145">
        <f>(D28*100)/F6</f>
        <v>38.786764705882355</v>
      </c>
      <c r="D28" s="146">
        <f>(F6-5)*B28/100+5</f>
        <v>10.55</v>
      </c>
      <c r="E28" s="149">
        <v>25</v>
      </c>
      <c r="F28" s="142">
        <f>(100*D6*12)/C28</f>
        <v>205461.83886255923</v>
      </c>
      <c r="G28" s="142">
        <f>(F28*C20)/100/12</f>
        <v>10134.606635071092</v>
      </c>
      <c r="H28" s="143">
        <f>G28*10</f>
        <v>101346.06635071091</v>
      </c>
      <c r="I28" s="143">
        <f>H28*0.02</f>
        <v>2026.9213270142184</v>
      </c>
    </row>
    <row r="29" spans="2:18" ht="15.75" thickBot="1" x14ac:dyDescent="0.3">
      <c r="B29" s="144">
        <v>75</v>
      </c>
      <c r="C29" s="150">
        <f>(D29*100)/F6</f>
        <v>61.213235294117638</v>
      </c>
      <c r="D29" s="146">
        <f>(F6-5)*B29/100</f>
        <v>16.649999999999999</v>
      </c>
    </row>
    <row r="30" spans="2:18" ht="27" thickBot="1" x14ac:dyDescent="0.3">
      <c r="B30" s="148">
        <v>20</v>
      </c>
      <c r="C30" s="145">
        <f>(D30*100)/F6</f>
        <v>34.705882352941181</v>
      </c>
      <c r="D30" s="146">
        <f>(F6-5)*B30/100+5</f>
        <v>9.4400000000000013</v>
      </c>
      <c r="E30" s="148">
        <v>20</v>
      </c>
      <c r="F30" s="142">
        <f>(100*D6*12)/C30</f>
        <v>229621.01694915252</v>
      </c>
      <c r="G30" s="142">
        <f>(F30*C20)/100/12</f>
        <v>11326.281779661018</v>
      </c>
      <c r="H30" s="143">
        <f>G30*10</f>
        <v>113262.81779661018</v>
      </c>
      <c r="I30" s="143">
        <f>H30*0.02</f>
        <v>2265.2563559322039</v>
      </c>
    </row>
    <row r="31" spans="2:18" ht="15.75" thickBot="1" x14ac:dyDescent="0.3">
      <c r="B31" s="148">
        <v>80</v>
      </c>
      <c r="C31" s="150">
        <f>(D31*100)/F6</f>
        <v>65.29411764705884</v>
      </c>
      <c r="D31" s="146">
        <f>(F6-5)*B31/100</f>
        <v>17.760000000000002</v>
      </c>
    </row>
    <row r="32" spans="2:18" ht="27" thickBot="1" x14ac:dyDescent="0.3">
      <c r="B32" s="144">
        <v>15</v>
      </c>
      <c r="C32" s="145">
        <f>(D32*100)/F6</f>
        <v>30.625</v>
      </c>
      <c r="D32" s="146">
        <f>(F6-5)*B32/100+5</f>
        <v>8.33</v>
      </c>
      <c r="E32" s="144">
        <v>15</v>
      </c>
      <c r="F32" s="142">
        <f>(100*D6*12)/C32</f>
        <v>260218.77551020408</v>
      </c>
      <c r="G32" s="142">
        <f>(F32*C20)/100/12</f>
        <v>12835.546218487398</v>
      </c>
      <c r="H32" s="143">
        <f>G32*10</f>
        <v>128355.46218487398</v>
      </c>
      <c r="I32" s="143">
        <f>H32*0.02</f>
        <v>2567.1092436974795</v>
      </c>
    </row>
    <row r="33" spans="2:9" ht="15.75" thickBot="1" x14ac:dyDescent="0.3">
      <c r="B33" s="144">
        <v>85</v>
      </c>
      <c r="C33" s="150">
        <f>(D33*100)/F6</f>
        <v>69.375</v>
      </c>
      <c r="D33" s="146">
        <f>(F6-5)*B33/100</f>
        <v>18.87</v>
      </c>
    </row>
    <row r="34" spans="2:9" ht="27" thickBot="1" x14ac:dyDescent="0.3">
      <c r="B34" s="148">
        <v>10</v>
      </c>
      <c r="C34" s="145">
        <f>(D34*100)/F6</f>
        <v>26.54411764705883</v>
      </c>
      <c r="D34" s="146">
        <f>(F6-5)*B34/100+5</f>
        <v>7.2200000000000006</v>
      </c>
      <c r="E34" s="148">
        <v>10</v>
      </c>
      <c r="F34" s="142">
        <f>(100*D6*12)/C34</f>
        <v>300224.70914127416</v>
      </c>
      <c r="G34" s="142">
        <f>(F34*C20)/100/12</f>
        <v>14808.878116343491</v>
      </c>
      <c r="H34" s="143">
        <f>G34*10</f>
        <v>148088.78116343491</v>
      </c>
      <c r="I34" s="143">
        <f>H34*0.02</f>
        <v>2961.7756232686984</v>
      </c>
    </row>
    <row r="35" spans="2:9" ht="15.75" thickBot="1" x14ac:dyDescent="0.3">
      <c r="B35" s="148">
        <v>90</v>
      </c>
      <c r="C35" s="150">
        <f>(D35*100)/F6</f>
        <v>73.455882352941174</v>
      </c>
      <c r="D35" s="146">
        <f>(F6-5)*B35/100</f>
        <v>19.98</v>
      </c>
    </row>
    <row r="36" spans="2:9" ht="27" thickBot="1" x14ac:dyDescent="0.3">
      <c r="B36" s="144">
        <v>5</v>
      </c>
      <c r="C36" s="145">
        <f>(D36*100)/F6</f>
        <v>22.463235294117649</v>
      </c>
      <c r="D36" s="146">
        <f>(F6-5)*B36/100+5</f>
        <v>6.11</v>
      </c>
      <c r="E36" s="144">
        <v>5</v>
      </c>
      <c r="F36" s="142">
        <f>(100*D6*12)/C36</f>
        <v>354766.35024549917</v>
      </c>
      <c r="G36" s="142">
        <f>(F36*C20)/100/12</f>
        <v>17499.19803600655</v>
      </c>
      <c r="H36" s="143">
        <f>G36*10</f>
        <v>174991.9803600655</v>
      </c>
      <c r="I36" s="143">
        <f>H36*0.02</f>
        <v>3499.8396072013102</v>
      </c>
    </row>
    <row r="37" spans="2:9" ht="15.75" thickBot="1" x14ac:dyDescent="0.3">
      <c r="B37" s="144">
        <v>95</v>
      </c>
      <c r="C37" s="150">
        <f>(D37*100)/F6</f>
        <v>77.536764705882348</v>
      </c>
      <c r="D37" s="146">
        <f>(F6-5)*B37/100</f>
        <v>21.09</v>
      </c>
    </row>
    <row r="38" spans="2:9" ht="27" thickBot="1" x14ac:dyDescent="0.3">
      <c r="B38" s="148">
        <v>1</v>
      </c>
      <c r="C38" s="145">
        <f>(D38*100)/F6</f>
        <v>19.198529411764707</v>
      </c>
      <c r="D38" s="146">
        <f>(F6-5)*B38/100+5</f>
        <v>5.2220000000000004</v>
      </c>
      <c r="E38" s="148">
        <v>1</v>
      </c>
      <c r="F38" s="142">
        <f>(100*D6*12)/C38</f>
        <v>415094.29337418615</v>
      </c>
      <c r="G38" s="142">
        <f>(F38*C20)/100/12</f>
        <v>20474.932975871317</v>
      </c>
      <c r="H38" s="143">
        <f>G38*10</f>
        <v>204749.32975871317</v>
      </c>
      <c r="I38" s="143">
        <f>H38*0.02</f>
        <v>4094.9865951742636</v>
      </c>
    </row>
    <row r="39" spans="2:9" ht="15.75" thickBot="1" x14ac:dyDescent="0.3">
      <c r="B39" s="148">
        <v>99</v>
      </c>
      <c r="C39" s="150">
        <f>(D39*100)/F6</f>
        <v>80.80147058823529</v>
      </c>
      <c r="D39" s="146">
        <f>(F6-5)*B39/100</f>
        <v>21.977999999999998</v>
      </c>
    </row>
  </sheetData>
  <mergeCells count="12">
    <mergeCell ref="J2:L3"/>
    <mergeCell ref="J4:S4"/>
    <mergeCell ref="B18:I18"/>
    <mergeCell ref="A1:H1"/>
    <mergeCell ref="A2:H2"/>
    <mergeCell ref="B16:H17"/>
    <mergeCell ref="B12:H12"/>
    <mergeCell ref="B13:H15"/>
    <mergeCell ref="G4:H5"/>
    <mergeCell ref="F4:F5"/>
    <mergeCell ref="E4:E5"/>
    <mergeCell ref="J13:J14"/>
  </mergeCells>
  <pageMargins left="0.7" right="0.7" top="0.75" bottom="0.75" header="0.3" footer="0.3"/>
  <pageSetup paperSize="9"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7"/>
  <sheetViews>
    <sheetView topLeftCell="D1" zoomScale="66" zoomScaleNormal="66" workbookViewId="0">
      <selection activeCell="R3" sqref="R3"/>
    </sheetView>
  </sheetViews>
  <sheetFormatPr defaultColWidth="9.140625" defaultRowHeight="15" x14ac:dyDescent="0.25"/>
  <cols>
    <col min="1" max="1" width="6.7109375" style="1" customWidth="1"/>
    <col min="2" max="2" width="23.7109375" style="1" bestFit="1" customWidth="1"/>
    <col min="3" max="3" width="18.28515625" style="2" customWidth="1"/>
    <col min="4" max="4" width="50.7109375" style="2" customWidth="1"/>
    <col min="5" max="5" width="27.7109375" style="3" customWidth="1"/>
    <col min="6" max="6" width="19.140625" style="1" customWidth="1"/>
    <col min="7" max="7" width="15.7109375" style="1" customWidth="1"/>
    <col min="8" max="8" width="16.42578125" style="3" customWidth="1"/>
    <col min="9" max="9" width="10.5703125" style="1" customWidth="1"/>
    <col min="10" max="12" width="13.28515625" style="1" customWidth="1"/>
    <col min="13" max="13" width="12.7109375" style="1" customWidth="1"/>
    <col min="14" max="14" width="21" style="1" bestFit="1" customWidth="1"/>
    <col min="15" max="15" width="26.28515625" style="1" customWidth="1"/>
    <col min="16" max="16" width="18.85546875" style="1" customWidth="1"/>
    <col min="17" max="17" width="20.85546875" style="1" customWidth="1"/>
    <col min="18" max="18" width="16.28515625" style="1" customWidth="1"/>
    <col min="19" max="19" width="14.28515625" style="1" customWidth="1"/>
    <col min="20" max="16384" width="9.140625" style="1"/>
  </cols>
  <sheetData>
    <row r="1" spans="2:20" ht="49.9" customHeight="1" thickTop="1" thickBot="1" x14ac:dyDescent="0.3">
      <c r="B1" s="1507" t="s">
        <v>47</v>
      </c>
      <c r="C1" s="1508"/>
      <c r="D1" s="91">
        <f>D30</f>
        <v>0</v>
      </c>
      <c r="E1" s="92" t="s">
        <v>66</v>
      </c>
      <c r="F1" s="105">
        <f>C39</f>
        <v>-22386</v>
      </c>
      <c r="G1" s="1509" t="s">
        <v>69</v>
      </c>
      <c r="H1" s="1509"/>
      <c r="K1" s="1491" t="s">
        <v>104</v>
      </c>
      <c r="L1" s="1492"/>
      <c r="M1" s="1493"/>
      <c r="N1" s="253" t="s">
        <v>166</v>
      </c>
      <c r="O1" s="154" t="s">
        <v>103</v>
      </c>
      <c r="P1" s="134" t="s">
        <v>7</v>
      </c>
      <c r="Q1" s="154" t="s">
        <v>52</v>
      </c>
      <c r="R1" s="154" t="s">
        <v>81</v>
      </c>
      <c r="S1" s="154" t="s">
        <v>82</v>
      </c>
      <c r="T1" s="156" t="s">
        <v>97</v>
      </c>
    </row>
    <row r="2" spans="2:20" ht="55.9" customHeight="1" thickTop="1" thickBot="1" x14ac:dyDescent="0.3">
      <c r="B2" s="1507" t="s">
        <v>48</v>
      </c>
      <c r="C2" s="1508"/>
      <c r="D2" s="91">
        <f>D33</f>
        <v>1113817.6038663988</v>
      </c>
      <c r="E2" s="93" t="s">
        <v>66</v>
      </c>
      <c r="F2" s="106">
        <f>D39</f>
        <v>282551.6038663988</v>
      </c>
      <c r="G2" s="1509"/>
      <c r="H2" s="1509"/>
      <c r="K2" s="1494"/>
      <c r="L2" s="1495"/>
      <c r="M2" s="1496"/>
      <c r="N2" s="135">
        <f>'GİRDİ SEKMESİ'!F6</f>
        <v>27.2</v>
      </c>
      <c r="O2" s="136">
        <v>50</v>
      </c>
      <c r="P2" s="134">
        <f>((N2-5)*O2/100+5)</f>
        <v>16.100000000000001</v>
      </c>
      <c r="Q2" s="137">
        <f>P2*100/N2</f>
        <v>59.191176470588246</v>
      </c>
      <c r="R2" s="136">
        <f>'GİRDİ SEKMESİ'!G20</f>
        <v>6641</v>
      </c>
      <c r="S2" s="136">
        <f>R2*10</f>
        <v>66410</v>
      </c>
      <c r="T2" s="163">
        <v>2021</v>
      </c>
    </row>
    <row r="3" spans="2:20" ht="51" customHeight="1" thickTop="1" thickBot="1" x14ac:dyDescent="0.3">
      <c r="B3" s="1504">
        <v>2022</v>
      </c>
      <c r="C3" s="1505"/>
      <c r="D3" s="1506"/>
      <c r="E3" s="171" t="s">
        <v>82</v>
      </c>
      <c r="F3" s="89"/>
      <c r="H3" s="1"/>
      <c r="K3" s="1497"/>
      <c r="L3" s="1498"/>
      <c r="M3" s="1499"/>
      <c r="N3" s="135">
        <f>'GİRDİ SEKMESİ'!F7</f>
        <v>83.5</v>
      </c>
      <c r="O3" s="136">
        <v>50</v>
      </c>
      <c r="P3" s="134">
        <f>((N3-5)*O3/100+5)</f>
        <v>44.25</v>
      </c>
      <c r="Q3" s="137">
        <f>P3*100/N3</f>
        <v>52.994011976047901</v>
      </c>
      <c r="R3" s="136">
        <f>(((D28*Q3)/100)/12)</f>
        <v>22602.370230626886</v>
      </c>
      <c r="S3" s="136">
        <f>R3*10</f>
        <v>226023.70230626885</v>
      </c>
      <c r="T3" s="163">
        <v>2022</v>
      </c>
    </row>
    <row r="4" spans="2:20" ht="40.9" customHeight="1" thickBot="1" x14ac:dyDescent="0.3">
      <c r="B4" s="38" t="s">
        <v>146</v>
      </c>
      <c r="C4" s="70">
        <f>'GİRDİ SEKMESİ'!C6</f>
        <v>562162</v>
      </c>
      <c r="D4" s="224"/>
      <c r="E4" s="228">
        <f>(((D28*Q3)/100)/12)*10</f>
        <v>226023.70230626885</v>
      </c>
      <c r="F4" s="226" t="s">
        <v>10</v>
      </c>
      <c r="G4" s="1510" t="s">
        <v>46</v>
      </c>
      <c r="H4" s="1511"/>
      <c r="I4" s="1511"/>
      <c r="J4" s="1511"/>
      <c r="K4" s="1512"/>
      <c r="L4" s="1512"/>
      <c r="M4" s="1512"/>
      <c r="N4" s="1513"/>
    </row>
    <row r="5" spans="2:20" ht="46.15" customHeight="1" thickBot="1" x14ac:dyDescent="0.3">
      <c r="B5" s="41" t="s">
        <v>137</v>
      </c>
      <c r="C5" s="71">
        <f>'AYRINTILI BİLGİLER'!E5</f>
        <v>0</v>
      </c>
      <c r="D5" s="225">
        <f>'AYRINTILI BİLGİLER'!E6</f>
        <v>6641</v>
      </c>
      <c r="E5" s="228"/>
      <c r="F5" s="227" t="s">
        <v>11</v>
      </c>
      <c r="G5" s="1510" t="s">
        <v>45</v>
      </c>
      <c r="H5" s="1511"/>
      <c r="I5" s="1511"/>
      <c r="J5" s="1511"/>
      <c r="K5" s="1511"/>
      <c r="L5" s="1511"/>
      <c r="M5" s="1511"/>
      <c r="N5" s="1513"/>
      <c r="P5" s="157"/>
    </row>
    <row r="6" spans="2:20" ht="96.6" customHeight="1" thickBot="1" x14ac:dyDescent="0.3">
      <c r="B6" s="38" t="s">
        <v>30</v>
      </c>
      <c r="C6" s="39">
        <f>C4+(D5*12)</f>
        <v>641854</v>
      </c>
      <c r="D6" s="1514" t="s">
        <v>75</v>
      </c>
      <c r="E6" s="1515"/>
      <c r="G6" s="1">
        <f>(((C5*4)+(D5*8))/12)*10</f>
        <v>44273.333333333328</v>
      </c>
      <c r="H6" s="1">
        <f>G6*0.02</f>
        <v>885.46666666666658</v>
      </c>
      <c r="I6" s="1">
        <f>((C5+D5)/2)*10</f>
        <v>33205</v>
      </c>
      <c r="J6" s="1">
        <f>I6*0.02</f>
        <v>664.1</v>
      </c>
      <c r="K6" s="1">
        <f>((E4+'GİRDİ SEKMESİ'!H20)/2)*0.02</f>
        <v>2924.3370230626888</v>
      </c>
    </row>
    <row r="7" spans="2:20" ht="27" customHeight="1" thickBot="1" x14ac:dyDescent="0.3">
      <c r="B7" s="28" t="s">
        <v>31</v>
      </c>
      <c r="C7" s="72">
        <f>'GİRDİ SEKMESİ'!F7</f>
        <v>83.5</v>
      </c>
      <c r="D7" s="1489" t="s">
        <v>136</v>
      </c>
      <c r="E7" s="257" t="s">
        <v>147</v>
      </c>
      <c r="F7" s="227" t="s">
        <v>12</v>
      </c>
      <c r="G7" s="1510" t="s">
        <v>46</v>
      </c>
      <c r="H7" s="1511"/>
      <c r="I7" s="1511"/>
      <c r="J7" s="1511"/>
      <c r="K7" s="1511"/>
      <c r="L7" s="1511"/>
      <c r="M7" s="1511"/>
      <c r="N7" s="1513"/>
    </row>
    <row r="8" spans="2:20" ht="15.75" thickBot="1" x14ac:dyDescent="0.3">
      <c r="B8" s="9" t="s">
        <v>1</v>
      </c>
      <c r="C8" s="10">
        <f>C7/12</f>
        <v>6.958333333333333</v>
      </c>
      <c r="D8" s="1490"/>
      <c r="E8" s="258" cm="1">
        <f t="array" ref="E8:F8">'AYRINTILI BİLGİLER'!W3:X3</f>
        <v>0</v>
      </c>
      <c r="F8" s="1">
        <v>0</v>
      </c>
      <c r="H8" s="1"/>
    </row>
    <row r="9" spans="2:20" ht="15.75" thickBot="1" x14ac:dyDescent="0.3">
      <c r="B9" s="1263"/>
      <c r="C9" s="1264"/>
      <c r="D9" s="1265"/>
      <c r="F9" s="221" t="s">
        <v>135</v>
      </c>
      <c r="G9" s="222" t="s">
        <v>169</v>
      </c>
      <c r="H9" s="1"/>
    </row>
    <row r="10" spans="2:20" ht="18" customHeight="1" thickBot="1" x14ac:dyDescent="0.3">
      <c r="B10" s="1522" t="s">
        <v>2</v>
      </c>
      <c r="C10" s="1535"/>
      <c r="D10" s="1523"/>
      <c r="F10" s="223">
        <v>45120</v>
      </c>
      <c r="G10" s="259">
        <f>S2</f>
        <v>66410</v>
      </c>
      <c r="H10" s="1"/>
    </row>
    <row r="11" spans="2:20" ht="16.149999999999999" customHeight="1" thickBot="1" x14ac:dyDescent="0.3">
      <c r="B11" s="6">
        <v>1</v>
      </c>
      <c r="C11" s="18">
        <f>C6-C5</f>
        <v>641854</v>
      </c>
      <c r="D11" s="18">
        <f>C11*C8/100</f>
        <v>44662.340833333328</v>
      </c>
      <c r="F11" s="1539" t="s">
        <v>68</v>
      </c>
      <c r="G11" s="1539"/>
      <c r="H11" s="1539"/>
      <c r="I11" s="1539"/>
      <c r="J11" s="1539"/>
      <c r="K11" s="1539"/>
      <c r="L11" s="1539"/>
      <c r="M11" s="1539"/>
      <c r="N11" s="1539"/>
    </row>
    <row r="12" spans="2:20" ht="16.149999999999999" customHeight="1" thickBot="1" x14ac:dyDescent="0.3">
      <c r="B12" s="6">
        <v>2</v>
      </c>
      <c r="C12" s="18">
        <f>C11-C5</f>
        <v>641854</v>
      </c>
      <c r="D12" s="18">
        <f>C12*C8/100</f>
        <v>44662.340833333328</v>
      </c>
      <c r="F12" s="1539"/>
      <c r="G12" s="1539"/>
      <c r="H12" s="1539"/>
      <c r="I12" s="1539"/>
      <c r="J12" s="1539"/>
      <c r="K12" s="1539"/>
      <c r="L12" s="1539"/>
      <c r="M12" s="1539"/>
      <c r="N12" s="1539"/>
    </row>
    <row r="13" spans="2:20" ht="16.149999999999999" customHeight="1" thickBot="1" x14ac:dyDescent="0.3">
      <c r="B13" s="6">
        <v>3</v>
      </c>
      <c r="C13" s="18">
        <f>C12-C5</f>
        <v>641854</v>
      </c>
      <c r="D13" s="18">
        <f>C13*C8/100</f>
        <v>44662.340833333328</v>
      </c>
      <c r="F13" s="1539"/>
      <c r="G13" s="1539"/>
      <c r="H13" s="1539"/>
      <c r="I13" s="1539"/>
      <c r="J13" s="1539"/>
      <c r="K13" s="1539"/>
      <c r="L13" s="1539"/>
      <c r="M13" s="1539"/>
      <c r="N13" s="1539"/>
    </row>
    <row r="14" spans="2:20" ht="16.149999999999999" customHeight="1" thickBot="1" x14ac:dyDescent="0.3">
      <c r="B14" s="6">
        <v>4</v>
      </c>
      <c r="C14" s="18">
        <f>C13-C5</f>
        <v>641854</v>
      </c>
      <c r="D14" s="18">
        <f>C14*C8/100</f>
        <v>44662.340833333328</v>
      </c>
      <c r="F14" s="1539"/>
      <c r="G14" s="1539"/>
      <c r="H14" s="1539"/>
      <c r="I14" s="1539"/>
      <c r="J14" s="1539"/>
      <c r="K14" s="1539"/>
      <c r="L14" s="1539"/>
      <c r="M14" s="1539"/>
      <c r="N14" s="1539"/>
    </row>
    <row r="15" spans="2:20" ht="16.5" thickBot="1" x14ac:dyDescent="0.3">
      <c r="B15" s="6">
        <v>5</v>
      </c>
      <c r="C15" s="18">
        <f>C14-E8</f>
        <v>641854</v>
      </c>
      <c r="D15" s="18">
        <f>C15*C8/100</f>
        <v>44662.340833333328</v>
      </c>
      <c r="F15" s="1539"/>
      <c r="G15" s="1539"/>
      <c r="H15" s="1539"/>
      <c r="I15" s="1539"/>
      <c r="J15" s="1539"/>
      <c r="K15" s="1539"/>
      <c r="L15" s="1539"/>
      <c r="M15" s="1539"/>
      <c r="N15" s="1539"/>
    </row>
    <row r="16" spans="2:20" ht="16.5" thickBot="1" x14ac:dyDescent="0.3">
      <c r="B16" s="6">
        <v>6</v>
      </c>
      <c r="C16" s="18">
        <f>C15-E8</f>
        <v>641854</v>
      </c>
      <c r="D16" s="18">
        <f>C16*C8/100</f>
        <v>44662.340833333328</v>
      </c>
      <c r="F16" s="1539"/>
      <c r="G16" s="1539"/>
      <c r="H16" s="1539"/>
      <c r="I16" s="1539"/>
      <c r="J16" s="1539"/>
      <c r="K16" s="1539"/>
      <c r="L16" s="1539"/>
      <c r="M16" s="1539"/>
      <c r="N16" s="1539"/>
    </row>
    <row r="17" spans="2:15" ht="16.5" thickBot="1" x14ac:dyDescent="0.3">
      <c r="B17" s="6">
        <v>7</v>
      </c>
      <c r="C17" s="18">
        <f>C16-D5</f>
        <v>635213</v>
      </c>
      <c r="D17" s="18">
        <f>C17*C8/100</f>
        <v>44200.237916666658</v>
      </c>
      <c r="H17" s="1"/>
    </row>
    <row r="18" spans="2:15" ht="16.5" thickBot="1" x14ac:dyDescent="0.3">
      <c r="B18" s="6">
        <v>8</v>
      </c>
      <c r="C18" s="18">
        <f>C17-D5</f>
        <v>628572</v>
      </c>
      <c r="D18" s="18">
        <f>C18*C8/100</f>
        <v>43738.135000000002</v>
      </c>
      <c r="H18" s="1"/>
    </row>
    <row r="19" spans="2:15" ht="16.5" thickBot="1" x14ac:dyDescent="0.3">
      <c r="B19" s="6">
        <v>9</v>
      </c>
      <c r="C19" s="18">
        <f>C18-D5</f>
        <v>621931</v>
      </c>
      <c r="D19" s="18">
        <f>C19*C8/100</f>
        <v>43276.032083333332</v>
      </c>
      <c r="H19" s="1"/>
    </row>
    <row r="20" spans="2:15" ht="16.5" thickBot="1" x14ac:dyDescent="0.3">
      <c r="B20" s="6">
        <v>10</v>
      </c>
      <c r="C20" s="18">
        <f>C19-D5</f>
        <v>615290</v>
      </c>
      <c r="D20" s="18">
        <f>C20*C8/100</f>
        <v>42813.929166666661</v>
      </c>
      <c r="E20" s="1"/>
      <c r="H20" s="1"/>
    </row>
    <row r="21" spans="2:15" ht="21.6" customHeight="1" thickBot="1" x14ac:dyDescent="0.3">
      <c r="B21" s="6">
        <v>11</v>
      </c>
      <c r="C21" s="18">
        <f>C20-D5</f>
        <v>608649</v>
      </c>
      <c r="D21" s="18">
        <f>C21*C8/100</f>
        <v>42351.826249999998</v>
      </c>
      <c r="E21" s="1500" t="s">
        <v>99</v>
      </c>
      <c r="F21" s="1501"/>
      <c r="G21" s="1501"/>
      <c r="H21" s="1501"/>
      <c r="I21" s="1501"/>
      <c r="J21" s="1501"/>
      <c r="K21" s="1501"/>
      <c r="L21" s="1501"/>
      <c r="M21" s="1501"/>
      <c r="N21" s="1501"/>
    </row>
    <row r="22" spans="2:15" ht="32.450000000000003" customHeight="1" thickBot="1" x14ac:dyDescent="0.3">
      <c r="B22" s="6">
        <v>12</v>
      </c>
      <c r="C22" s="18">
        <f>C21-D5</f>
        <v>602008</v>
      </c>
      <c r="D22" s="18">
        <f>C22*C8/100</f>
        <v>41889.723333333328</v>
      </c>
      <c r="E22" s="1500"/>
      <c r="F22" s="1501"/>
      <c r="G22" s="1501"/>
      <c r="H22" s="1501"/>
      <c r="I22" s="1501"/>
      <c r="J22" s="1501"/>
      <c r="K22" s="1501"/>
      <c r="L22" s="1501"/>
      <c r="M22" s="1501"/>
      <c r="N22" s="1501"/>
    </row>
    <row r="23" spans="2:15" ht="37.9" customHeight="1" thickBot="1" x14ac:dyDescent="0.3">
      <c r="B23" s="7"/>
      <c r="C23" s="18">
        <f>C22</f>
        <v>602008</v>
      </c>
      <c r="D23" s="18"/>
      <c r="E23" s="1502"/>
      <c r="F23" s="1503"/>
      <c r="G23" s="1503"/>
      <c r="H23" s="1503"/>
      <c r="I23" s="1503"/>
      <c r="J23" s="1503"/>
      <c r="K23" s="1503"/>
      <c r="L23" s="1503"/>
      <c r="M23" s="1503"/>
      <c r="N23" s="1503"/>
    </row>
    <row r="24" spans="2:15" ht="16.5" thickTop="1" thickBot="1" x14ac:dyDescent="0.3">
      <c r="B24" s="1522" t="s">
        <v>3</v>
      </c>
      <c r="C24" s="1523"/>
      <c r="D24" s="170">
        <f>SUM(D11:D23)</f>
        <v>526243.92874999996</v>
      </c>
      <c r="E24" s="159">
        <v>1</v>
      </c>
      <c r="F24" s="159">
        <v>5</v>
      </c>
      <c r="G24" s="159">
        <v>10</v>
      </c>
      <c r="H24" s="159">
        <v>15</v>
      </c>
      <c r="I24" s="159">
        <v>20</v>
      </c>
      <c r="J24" s="159">
        <v>25</v>
      </c>
      <c r="K24" s="159">
        <v>30</v>
      </c>
      <c r="L24" s="159">
        <v>35</v>
      </c>
      <c r="M24" s="159">
        <v>40</v>
      </c>
      <c r="N24" s="161">
        <v>50</v>
      </c>
      <c r="O24" s="163" t="s">
        <v>102</v>
      </c>
    </row>
    <row r="25" spans="2:15" ht="16.5" thickTop="1" thickBot="1" x14ac:dyDescent="0.3">
      <c r="B25" s="1517" t="s">
        <v>98</v>
      </c>
      <c r="C25" s="1518"/>
      <c r="D25" s="17">
        <f>(((E8*6)+(D5*6))/12)*10*0.02</f>
        <v>664.1</v>
      </c>
      <c r="E25" s="160">
        <f>IF('GİRDİ SEKMESİ'!E6,'GİRDİ SEKMESİ'!I38)</f>
        <v>4094.9865951742636</v>
      </c>
      <c r="F25" s="160">
        <f>IF('GİRDİ SEKMESİ'!E6,'GİRDİ SEKMESİ'!I36)</f>
        <v>3499.8396072013102</v>
      </c>
      <c r="G25" s="160">
        <f>IF('GİRDİ SEKMESİ'!E6,'GİRDİ SEKMESİ'!I34)</f>
        <v>2961.7756232686984</v>
      </c>
      <c r="H25" s="160">
        <f>IF('GİRDİ SEKMESİ'!E6,'GİRDİ SEKMESİ'!I32)</f>
        <v>2567.1092436974795</v>
      </c>
      <c r="I25" s="160">
        <f>IF('GİRDİ SEKMESİ'!E6,'GİRDİ SEKMESİ'!I30)</f>
        <v>2265.2563559322039</v>
      </c>
      <c r="J25" s="160">
        <f>IF('GİRDİ SEKMESİ'!E6,'GİRDİ SEKMESİ'!I28)</f>
        <v>2026.9213270142184</v>
      </c>
      <c r="K25" s="160">
        <f>IF('GİRDİ SEKMESİ'!E6,'GİRDİ SEKMESİ'!I26)</f>
        <v>1833.9639794168097</v>
      </c>
      <c r="L25" s="160">
        <f>IF('GİRDİ SEKMESİ'!E6,'GİRDİ SEKMESİ'!I24)</f>
        <v>1674.5512920908379</v>
      </c>
      <c r="M25" s="160">
        <f>IF('GİRDİ SEKMESİ'!E6,'GİRDİ SEKMESİ'!I22)</f>
        <v>1540.6354466858793</v>
      </c>
      <c r="N25" s="162">
        <f>IF('GİRDİ SEKMESİ'!E6,'GİRDİ SEKMESİ'!I20)</f>
        <v>1328.2</v>
      </c>
      <c r="O25" s="164" t="s">
        <v>80</v>
      </c>
    </row>
    <row r="26" spans="2:15" ht="28.9" customHeight="1" thickBot="1" x14ac:dyDescent="0.3">
      <c r="B26" s="1280" t="s">
        <v>4</v>
      </c>
      <c r="C26" s="1281"/>
      <c r="D26" s="17">
        <f>D24*2.6167/100</f>
        <v>13770.22488360125</v>
      </c>
      <c r="E26" s="1"/>
    </row>
    <row r="27" spans="2:15" ht="22.9" customHeight="1" thickBot="1" x14ac:dyDescent="0.3">
      <c r="B27" s="1280" t="s">
        <v>6</v>
      </c>
      <c r="C27" s="1281"/>
      <c r="D27" s="17">
        <f>D25+D26</f>
        <v>14434.32488360125</v>
      </c>
    </row>
    <row r="28" spans="2:15" ht="54.6" customHeight="1" thickBot="1" x14ac:dyDescent="0.3">
      <c r="B28" s="1270" t="s">
        <v>5</v>
      </c>
      <c r="C28" s="1271"/>
      <c r="D28" s="152">
        <f>D24-D27</f>
        <v>511809.60386639868</v>
      </c>
      <c r="E28" s="12"/>
    </row>
    <row r="29" spans="2:15" ht="58.5" customHeight="1" thickBot="1" x14ac:dyDescent="0.3">
      <c r="B29" s="81" t="s">
        <v>100</v>
      </c>
      <c r="C29" s="84">
        <f>((('GİRDİ SEKMESİ'!F7-5)*'GİRDİ SEKMESİ'!E7/100+5)*100/'GİRDİ SEKMESİ'!F7)*'AYRINTILI BİLGİLER'!H7</f>
        <v>0</v>
      </c>
      <c r="D29" s="73"/>
      <c r="E29" s="1"/>
      <c r="F29" s="83" t="s">
        <v>101</v>
      </c>
      <c r="G29" s="1519" t="s">
        <v>49</v>
      </c>
      <c r="H29" s="1520"/>
      <c r="I29" s="1520"/>
      <c r="J29" s="1520"/>
      <c r="K29" s="1520"/>
      <c r="L29" s="1520"/>
      <c r="M29" s="1520"/>
      <c r="N29" s="1521"/>
    </row>
    <row r="30" spans="2:15" ht="33" customHeight="1" thickBot="1" x14ac:dyDescent="0.5">
      <c r="B30" s="74" t="s">
        <v>20</v>
      </c>
      <c r="C30" s="33" t="e">
        <f>(D30-C5)/C5</f>
        <v>#DIV/0!</v>
      </c>
      <c r="D30" s="77">
        <f>D31/12</f>
        <v>0</v>
      </c>
      <c r="E30" s="78" t="s">
        <v>47</v>
      </c>
      <c r="F30" s="27">
        <f>((D28*C29)/100/12)</f>
        <v>0</v>
      </c>
    </row>
    <row r="31" spans="2:15" ht="15" customHeight="1" thickBot="1" x14ac:dyDescent="0.3">
      <c r="B31" s="1524" t="s">
        <v>29</v>
      </c>
      <c r="C31" s="1525"/>
      <c r="D31" s="34">
        <f>(D28*C29/100)</f>
        <v>0</v>
      </c>
      <c r="E31" s="1"/>
    </row>
    <row r="32" spans="2:15" ht="19.5" thickBot="1" x14ac:dyDescent="0.35">
      <c r="B32" s="35" t="s">
        <v>8</v>
      </c>
      <c r="C32" s="36"/>
      <c r="D32" s="34">
        <f>D28-D31</f>
        <v>511809.60386639868</v>
      </c>
      <c r="E32" s="1"/>
      <c r="G32" s="1488" t="s">
        <v>123</v>
      </c>
      <c r="H32" s="1488"/>
      <c r="I32" s="1488"/>
      <c r="J32" s="1488"/>
    </row>
    <row r="33" spans="1:10" ht="48.75" thickTop="1" thickBot="1" x14ac:dyDescent="0.3">
      <c r="B33" s="32" t="s">
        <v>36</v>
      </c>
      <c r="C33" s="33">
        <f>(D33-C4)/C4</f>
        <v>0.98131073225582444</v>
      </c>
      <c r="D33" s="77">
        <f>C23+D32</f>
        <v>1113817.6038663988</v>
      </c>
      <c r="E33" s="79" t="s">
        <v>48</v>
      </c>
      <c r="G33" s="1487">
        <f>HLOOKUP('GİRDİ SEKMESİ'!E6,E24:N25,2)</f>
        <v>1328.2</v>
      </c>
      <c r="H33" s="1487"/>
      <c r="I33" s="1487"/>
      <c r="J33" s="1487"/>
    </row>
    <row r="34" spans="1:10" ht="30.6" customHeight="1" thickBot="1" x14ac:dyDescent="0.3">
      <c r="B34" s="1533" t="s">
        <v>24</v>
      </c>
      <c r="C34" s="1534"/>
      <c r="D34" s="42">
        <f>D33+D31</f>
        <v>1113817.6038663988</v>
      </c>
    </row>
    <row r="35" spans="1:10" ht="14.45" customHeight="1" thickBot="1" x14ac:dyDescent="0.3">
      <c r="B35" s="3"/>
      <c r="C35" s="3"/>
      <c r="D35" s="3"/>
    </row>
    <row r="36" spans="1:10" ht="37.15" customHeight="1" thickTop="1" x14ac:dyDescent="0.25">
      <c r="B36" s="52" t="s">
        <v>41</v>
      </c>
      <c r="C36" s="53" t="s">
        <v>32</v>
      </c>
      <c r="D36" s="54" t="s">
        <v>0</v>
      </c>
    </row>
    <row r="37" spans="1:10" ht="22.9" customHeight="1" x14ac:dyDescent="0.25">
      <c r="B37" s="55" t="s">
        <v>34</v>
      </c>
      <c r="C37" s="56">
        <f>'GİRDİ SEKMESİ'!D7</f>
        <v>22386</v>
      </c>
      <c r="D37" s="57">
        <f>'GİRDİ SEKMESİ'!C7</f>
        <v>831266</v>
      </c>
    </row>
    <row r="38" spans="1:10" ht="21.6" customHeight="1" thickBot="1" x14ac:dyDescent="0.3">
      <c r="B38" s="80" t="s">
        <v>35</v>
      </c>
      <c r="C38" s="75">
        <f>D30</f>
        <v>0</v>
      </c>
      <c r="D38" s="76">
        <f>D33</f>
        <v>1113817.6038663988</v>
      </c>
    </row>
    <row r="39" spans="1:10" ht="30.6" customHeight="1" thickBot="1" x14ac:dyDescent="0.3">
      <c r="B39" s="60" t="s">
        <v>33</v>
      </c>
      <c r="C39" s="58">
        <f>C38-C37</f>
        <v>-22386</v>
      </c>
      <c r="D39" s="59">
        <f>D38-D37</f>
        <v>282551.6038663988</v>
      </c>
      <c r="H39" s="1536" t="s">
        <v>33</v>
      </c>
      <c r="I39" s="1537"/>
      <c r="J39" s="1538"/>
    </row>
    <row r="40" spans="1:10" ht="14.45" customHeight="1" thickTop="1" x14ac:dyDescent="0.25"/>
    <row r="41" spans="1:10" ht="16.149999999999999" customHeight="1" thickBot="1" x14ac:dyDescent="0.3">
      <c r="F41" s="3"/>
      <c r="G41" s="3"/>
    </row>
    <row r="42" spans="1:10" ht="27" customHeight="1" thickTop="1" thickBot="1" x14ac:dyDescent="0.3">
      <c r="B42" s="1526" t="s">
        <v>67</v>
      </c>
      <c r="C42" s="1528"/>
      <c r="D42" s="1529"/>
      <c r="E42" s="132">
        <f>(D5-E8)*2</f>
        <v>13282</v>
      </c>
      <c r="F42" s="1526" t="s">
        <v>172</v>
      </c>
      <c r="G42" s="1527"/>
    </row>
    <row r="43" spans="1:10" ht="136.9" customHeight="1" thickBot="1" x14ac:dyDescent="0.3">
      <c r="B43" s="1530" t="s">
        <v>173</v>
      </c>
      <c r="C43" s="1531"/>
      <c r="D43" s="1531"/>
      <c r="E43" s="1532"/>
      <c r="F43" s="128">
        <f>E8</f>
        <v>0</v>
      </c>
      <c r="G43" s="129">
        <f>D5</f>
        <v>6641</v>
      </c>
      <c r="I43" s="127"/>
    </row>
    <row r="44" spans="1:10" ht="17.45" customHeight="1" thickTop="1" thickBot="1" x14ac:dyDescent="0.3">
      <c r="F44" s="130" t="s">
        <v>171</v>
      </c>
      <c r="G44" s="131" t="s">
        <v>170</v>
      </c>
    </row>
    <row r="45" spans="1:10" ht="80.45" customHeight="1" thickTop="1" x14ac:dyDescent="0.25">
      <c r="B45" s="1516" t="s">
        <v>77</v>
      </c>
      <c r="C45" s="1516"/>
      <c r="D45" s="1516"/>
      <c r="E45" s="1516"/>
    </row>
    <row r="46" spans="1:10" x14ac:dyDescent="0.25">
      <c r="A46" s="2"/>
      <c r="B46" s="2"/>
      <c r="E46" s="2"/>
    </row>
    <row r="47" spans="1:10" ht="114" customHeight="1" x14ac:dyDescent="0.25">
      <c r="A47" s="2"/>
      <c r="B47" s="2"/>
      <c r="E47" s="2"/>
    </row>
  </sheetData>
  <mergeCells count="29">
    <mergeCell ref="B45:E45"/>
    <mergeCell ref="G7:N7"/>
    <mergeCell ref="B25:C25"/>
    <mergeCell ref="G29:N29"/>
    <mergeCell ref="B24:C24"/>
    <mergeCell ref="B27:C27"/>
    <mergeCell ref="B28:C28"/>
    <mergeCell ref="B31:C31"/>
    <mergeCell ref="F42:G42"/>
    <mergeCell ref="B42:D42"/>
    <mergeCell ref="B43:E43"/>
    <mergeCell ref="B34:C34"/>
    <mergeCell ref="B26:C26"/>
    <mergeCell ref="B10:D10"/>
    <mergeCell ref="H39:J39"/>
    <mergeCell ref="F11:N16"/>
    <mergeCell ref="G33:J33"/>
    <mergeCell ref="G32:J32"/>
    <mergeCell ref="D7:D8"/>
    <mergeCell ref="K1:M3"/>
    <mergeCell ref="E21:N23"/>
    <mergeCell ref="B9:D9"/>
    <mergeCell ref="B3:D3"/>
    <mergeCell ref="B2:C2"/>
    <mergeCell ref="G1:H2"/>
    <mergeCell ref="G4:N4"/>
    <mergeCell ref="G5:N5"/>
    <mergeCell ref="B1:C1"/>
    <mergeCell ref="D6:E6"/>
  </mergeCells>
  <pageMargins left="0.7" right="0.7" top="0.75" bottom="0.75" header="0.3" footer="0.3"/>
  <pageSetup paperSize="9" scale="56" orientation="portrait" horizontalDpi="300" verticalDpi="3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4"/>
  <sheetViews>
    <sheetView zoomScale="84" zoomScaleNormal="84" workbookViewId="0">
      <selection activeCell="D30" sqref="D30"/>
    </sheetView>
  </sheetViews>
  <sheetFormatPr defaultRowHeight="15" x14ac:dyDescent="0.25"/>
  <cols>
    <col min="1" max="1" width="7.7109375" customWidth="1"/>
    <col min="2" max="2" width="15.42578125" customWidth="1"/>
    <col min="3" max="3" width="7.28515625" customWidth="1"/>
    <col min="4" max="4" width="15.28515625" customWidth="1"/>
    <col min="6" max="6" width="16.5703125" customWidth="1"/>
    <col min="7" max="7" width="12.85546875" customWidth="1"/>
    <col min="10" max="10" width="5.28515625" customWidth="1"/>
    <col min="11" max="11" width="2.28515625" customWidth="1"/>
    <col min="14" max="14" width="11" bestFit="1" customWidth="1"/>
  </cols>
  <sheetData>
    <row r="1" spans="1:25" ht="14.45" customHeight="1" x14ac:dyDescent="0.25">
      <c r="A1" s="1540" t="s">
        <v>562</v>
      </c>
      <c r="B1" s="1541"/>
      <c r="C1" s="1541"/>
      <c r="D1" s="1541"/>
      <c r="E1" s="1541"/>
      <c r="F1" s="1541"/>
      <c r="G1" s="1541"/>
      <c r="H1" s="1541"/>
      <c r="I1" s="1541"/>
      <c r="J1" s="1541"/>
      <c r="K1" s="1541"/>
      <c r="L1" s="1541"/>
      <c r="M1" s="1541"/>
      <c r="N1" s="1542"/>
    </row>
    <row r="2" spans="1:25" ht="14.45" customHeight="1" x14ac:dyDescent="0.25">
      <c r="A2" s="1543"/>
      <c r="B2" s="1544"/>
      <c r="C2" s="1544"/>
      <c r="D2" s="1544"/>
      <c r="E2" s="1544"/>
      <c r="F2" s="1544"/>
      <c r="G2" s="1544"/>
      <c r="H2" s="1544"/>
      <c r="I2" s="1544"/>
      <c r="J2" s="1544"/>
      <c r="K2" s="1544"/>
      <c r="L2" s="1544"/>
      <c r="M2" s="1544"/>
      <c r="N2" s="1545"/>
    </row>
    <row r="3" spans="1:25" ht="6.6" customHeight="1" x14ac:dyDescent="0.25">
      <c r="A3" s="1543"/>
      <c r="B3" s="1544"/>
      <c r="C3" s="1544"/>
      <c r="D3" s="1544"/>
      <c r="E3" s="1544"/>
      <c r="F3" s="1544"/>
      <c r="G3" s="1544"/>
      <c r="H3" s="1544"/>
      <c r="I3" s="1544"/>
      <c r="J3" s="1544"/>
      <c r="K3" s="1544"/>
      <c r="L3" s="1544"/>
      <c r="M3" s="1544"/>
      <c r="N3" s="1545"/>
    </row>
    <row r="4" spans="1:25" ht="1.9" customHeight="1" thickBot="1" x14ac:dyDescent="0.3">
      <c r="A4" s="1546"/>
      <c r="B4" s="1547"/>
      <c r="C4" s="1547"/>
      <c r="D4" s="1547"/>
      <c r="E4" s="1547"/>
      <c r="F4" s="1547"/>
      <c r="G4" s="1547"/>
      <c r="H4" s="1547"/>
      <c r="I4" s="1547"/>
      <c r="J4" s="1547"/>
      <c r="K4" s="1547"/>
      <c r="L4" s="1547"/>
      <c r="M4" s="1547"/>
      <c r="N4" s="1548"/>
    </row>
    <row r="5" spans="1:25" ht="7.9" customHeight="1" thickBot="1" x14ac:dyDescent="0.3"/>
    <row r="6" spans="1:25" ht="15" customHeight="1" x14ac:dyDescent="0.25">
      <c r="H6" s="1549" t="s">
        <v>268</v>
      </c>
      <c r="I6" s="1550"/>
      <c r="J6" s="1550"/>
      <c r="K6" s="1550"/>
      <c r="L6" s="1554" t="s">
        <v>275</v>
      </c>
      <c r="M6" s="1555"/>
      <c r="N6" s="1555"/>
      <c r="O6" s="1556"/>
      <c r="Q6" s="1570" t="s">
        <v>313</v>
      </c>
      <c r="R6" s="1571"/>
      <c r="S6" s="1571"/>
      <c r="T6" s="1571"/>
      <c r="U6" s="1571"/>
      <c r="V6" s="1571"/>
      <c r="W6" s="1571"/>
      <c r="X6" s="1571"/>
      <c r="Y6" s="1572"/>
    </row>
    <row r="7" spans="1:25" ht="15" customHeight="1" thickBot="1" x14ac:dyDescent="0.3">
      <c r="H7" s="1551"/>
      <c r="I7" s="1552"/>
      <c r="J7" s="1552"/>
      <c r="K7" s="1552"/>
      <c r="L7" s="1563">
        <f>'AYRINTILI BİLGİLER'!T14</f>
        <v>2947199.9884064724</v>
      </c>
      <c r="M7" s="1564"/>
      <c r="N7" s="1564"/>
      <c r="O7" s="1565"/>
      <c r="Q7" s="1573"/>
      <c r="R7" s="1574"/>
      <c r="S7" s="1574"/>
      <c r="T7" s="1574"/>
      <c r="U7" s="1574"/>
      <c r="V7" s="1574"/>
      <c r="W7" s="1574"/>
      <c r="X7" s="1574"/>
      <c r="Y7" s="1575"/>
    </row>
    <row r="8" spans="1:25" ht="93.75" thickBot="1" x14ac:dyDescent="0.3">
      <c r="B8" s="529" t="s">
        <v>560</v>
      </c>
      <c r="D8" s="530" t="s">
        <v>264</v>
      </c>
      <c r="F8" s="508" t="s">
        <v>265</v>
      </c>
      <c r="G8" s="531" t="s">
        <v>266</v>
      </c>
      <c r="H8" s="1551"/>
      <c r="I8" s="1552"/>
      <c r="J8" s="1552"/>
      <c r="K8" s="1552"/>
      <c r="L8" s="1557" t="s">
        <v>462</v>
      </c>
      <c r="M8" s="1558"/>
      <c r="N8" s="1558"/>
      <c r="O8" s="1559"/>
      <c r="Q8" s="1573"/>
      <c r="R8" s="1574"/>
      <c r="S8" s="1574"/>
      <c r="T8" s="1574"/>
      <c r="U8" s="1574"/>
      <c r="V8" s="1574"/>
      <c r="W8" s="1574"/>
      <c r="X8" s="1574"/>
      <c r="Y8" s="1575"/>
    </row>
    <row r="9" spans="1:25" ht="48" thickTop="1" thickBot="1" x14ac:dyDescent="0.3">
      <c r="B9" s="893">
        <f>'BAŞ SAYFA'!L6</f>
        <v>75</v>
      </c>
      <c r="D9" s="892">
        <f>'BAŞ SAYFA'!K6</f>
        <v>50</v>
      </c>
      <c r="F9" s="511">
        <f>G19</f>
        <v>53.333333333333336</v>
      </c>
      <c r="G9" s="510">
        <f>100-F9</f>
        <v>46.666666666666664</v>
      </c>
      <c r="H9" s="1553">
        <f>((((((100000*B9)/100)*F9)/100)/12))*(('BAŞ SAYFA'!F15)/100)</f>
        <v>3235.9696092651702</v>
      </c>
      <c r="I9" s="1553"/>
      <c r="J9" s="1553"/>
      <c r="K9" s="1553"/>
      <c r="L9" s="1560">
        <f>'BAŞ SAYFA'!R6</f>
        <v>95370.495949100063</v>
      </c>
      <c r="M9" s="1561"/>
      <c r="N9" s="1561"/>
      <c r="O9" s="1562"/>
      <c r="Q9" s="1573"/>
      <c r="R9" s="1574"/>
      <c r="S9" s="1574"/>
      <c r="T9" s="1574"/>
      <c r="U9" s="1574"/>
      <c r="V9" s="1574"/>
      <c r="W9" s="1574"/>
      <c r="X9" s="1574"/>
      <c r="Y9" s="1575"/>
    </row>
    <row r="10" spans="1:25" ht="15.75" thickBot="1" x14ac:dyDescent="0.3">
      <c r="M10" s="509"/>
      <c r="Q10" s="1573"/>
      <c r="R10" s="1574"/>
      <c r="S10" s="1574"/>
      <c r="T10" s="1574"/>
      <c r="U10" s="1574"/>
      <c r="V10" s="1574"/>
      <c r="W10" s="1574"/>
      <c r="X10" s="1574"/>
      <c r="Y10" s="1575"/>
    </row>
    <row r="11" spans="1:25" x14ac:dyDescent="0.25">
      <c r="F11" s="1579" t="s">
        <v>269</v>
      </c>
      <c r="G11" s="1580"/>
      <c r="H11" s="1580"/>
      <c r="I11" s="1580"/>
      <c r="J11" s="1580"/>
      <c r="K11" s="1580"/>
      <c r="L11" s="1580"/>
      <c r="M11" s="1580"/>
      <c r="N11" s="1580"/>
      <c r="O11" s="1580"/>
      <c r="P11" s="1580"/>
      <c r="Q11" s="1573"/>
      <c r="R11" s="1574"/>
      <c r="S11" s="1574"/>
      <c r="T11" s="1574"/>
      <c r="U11" s="1574"/>
      <c r="V11" s="1574"/>
      <c r="W11" s="1574"/>
      <c r="X11" s="1574"/>
      <c r="Y11" s="1575"/>
    </row>
    <row r="12" spans="1:25" x14ac:dyDescent="0.25">
      <c r="F12" s="1581"/>
      <c r="G12" s="1582"/>
      <c r="H12" s="1582"/>
      <c r="I12" s="1582"/>
      <c r="J12" s="1582"/>
      <c r="K12" s="1582"/>
      <c r="L12" s="1582"/>
      <c r="M12" s="1582"/>
      <c r="N12" s="1582"/>
      <c r="O12" s="1582"/>
      <c r="P12" s="1582"/>
      <c r="Q12" s="1573"/>
      <c r="R12" s="1574"/>
      <c r="S12" s="1574"/>
      <c r="T12" s="1574"/>
      <c r="U12" s="1574"/>
      <c r="V12" s="1574"/>
      <c r="W12" s="1574"/>
      <c r="X12" s="1574"/>
      <c r="Y12" s="1575"/>
    </row>
    <row r="13" spans="1:25" ht="24" customHeight="1" x14ac:dyDescent="0.25">
      <c r="F13" s="1581"/>
      <c r="G13" s="1582"/>
      <c r="H13" s="1582"/>
      <c r="I13" s="1582"/>
      <c r="J13" s="1582"/>
      <c r="K13" s="1582"/>
      <c r="L13" s="1582"/>
      <c r="M13" s="1582"/>
      <c r="N13" s="1582"/>
      <c r="O13" s="1582"/>
      <c r="P13" s="1582"/>
      <c r="Q13" s="1573"/>
      <c r="R13" s="1574"/>
      <c r="S13" s="1574"/>
      <c r="T13" s="1574"/>
      <c r="U13" s="1574"/>
      <c r="V13" s="1574"/>
      <c r="W13" s="1574"/>
      <c r="X13" s="1574"/>
      <c r="Y13" s="1575"/>
    </row>
    <row r="14" spans="1:25" x14ac:dyDescent="0.25">
      <c r="F14" s="1581"/>
      <c r="G14" s="1582"/>
      <c r="H14" s="1582"/>
      <c r="I14" s="1582"/>
      <c r="J14" s="1582"/>
      <c r="K14" s="1582"/>
      <c r="L14" s="1582"/>
      <c r="M14" s="1582"/>
      <c r="N14" s="1582"/>
      <c r="O14" s="1582"/>
      <c r="P14" s="1582"/>
      <c r="Q14" s="1573"/>
      <c r="R14" s="1574"/>
      <c r="S14" s="1574"/>
      <c r="T14" s="1574"/>
      <c r="U14" s="1574"/>
      <c r="V14" s="1574"/>
      <c r="W14" s="1574"/>
      <c r="X14" s="1574"/>
      <c r="Y14" s="1575"/>
    </row>
    <row r="15" spans="1:25" ht="58.9" customHeight="1" thickBot="1" x14ac:dyDescent="0.3">
      <c r="F15" s="1583"/>
      <c r="G15" s="1584"/>
      <c r="H15" s="1584"/>
      <c r="I15" s="1584"/>
      <c r="J15" s="1584"/>
      <c r="K15" s="1584"/>
      <c r="L15" s="1584"/>
      <c r="M15" s="1584"/>
      <c r="N15" s="1584"/>
      <c r="O15" s="1584"/>
      <c r="P15" s="1584"/>
      <c r="Q15" s="1573"/>
      <c r="R15" s="1574"/>
      <c r="S15" s="1574"/>
      <c r="T15" s="1574"/>
      <c r="U15" s="1574"/>
      <c r="V15" s="1574"/>
      <c r="W15" s="1574"/>
      <c r="X15" s="1574"/>
      <c r="Y15" s="1575"/>
    </row>
    <row r="16" spans="1:25" ht="9.6" customHeight="1" thickBot="1" x14ac:dyDescent="0.3">
      <c r="Q16" s="1573"/>
      <c r="R16" s="1574"/>
      <c r="S16" s="1574"/>
      <c r="T16" s="1574"/>
      <c r="U16" s="1574"/>
      <c r="V16" s="1574"/>
      <c r="W16" s="1574"/>
      <c r="X16" s="1574"/>
      <c r="Y16" s="1575"/>
    </row>
    <row r="17" spans="2:25" ht="15" hidden="1" customHeight="1" thickBot="1" x14ac:dyDescent="0.3">
      <c r="Q17" s="1573"/>
      <c r="R17" s="1574"/>
      <c r="S17" s="1574"/>
      <c r="T17" s="1574"/>
      <c r="U17" s="1574"/>
      <c r="V17" s="1574"/>
      <c r="W17" s="1574"/>
      <c r="X17" s="1574"/>
      <c r="Y17" s="1575"/>
    </row>
    <row r="18" spans="2:25" ht="45.6" customHeight="1" thickTop="1" thickBot="1" x14ac:dyDescent="0.3">
      <c r="B18" s="512" t="s">
        <v>267</v>
      </c>
      <c r="C18" s="515" t="s">
        <v>264</v>
      </c>
      <c r="D18" s="516" t="s">
        <v>424</v>
      </c>
      <c r="E18" s="1589" t="s">
        <v>425</v>
      </c>
      <c r="F18" s="1590"/>
      <c r="G18" s="1585" t="s">
        <v>426</v>
      </c>
      <c r="H18" s="1586"/>
      <c r="I18" s="1566" t="s">
        <v>266</v>
      </c>
      <c r="J18" s="1567"/>
      <c r="Q18" s="1573"/>
      <c r="R18" s="1574"/>
      <c r="S18" s="1574"/>
      <c r="T18" s="1574"/>
      <c r="U18" s="1574"/>
      <c r="V18" s="1574"/>
      <c r="W18" s="1574"/>
      <c r="X18" s="1574"/>
      <c r="Y18" s="1575"/>
    </row>
    <row r="19" spans="2:25" ht="16.5" thickTop="1" thickBot="1" x14ac:dyDescent="0.3">
      <c r="B19" s="513">
        <f>B9</f>
        <v>75</v>
      </c>
      <c r="C19" s="514">
        <f>D9</f>
        <v>50</v>
      </c>
      <c r="D19" s="516">
        <f>((B19-5)*C19/100)+5</f>
        <v>40</v>
      </c>
      <c r="E19" s="1589">
        <f>B19-D19</f>
        <v>35</v>
      </c>
      <c r="F19" s="1590"/>
      <c r="G19" s="1587">
        <f>(D19*100/B19)</f>
        <v>53.333333333333336</v>
      </c>
      <c r="H19" s="1588"/>
      <c r="I19" s="1568">
        <f>100-G19</f>
        <v>46.666666666666664</v>
      </c>
      <c r="J19" s="1569"/>
      <c r="Q19" s="1576"/>
      <c r="R19" s="1577"/>
      <c r="S19" s="1577"/>
      <c r="T19" s="1577"/>
      <c r="U19" s="1577"/>
      <c r="V19" s="1577"/>
      <c r="W19" s="1577"/>
      <c r="X19" s="1577"/>
      <c r="Y19" s="1578"/>
    </row>
    <row r="22" spans="2:25" ht="8.4499999999999993" customHeight="1" x14ac:dyDescent="0.25"/>
    <row r="23" spans="2:25" ht="14.45" hidden="1" customHeight="1" x14ac:dyDescent="0.25">
      <c r="Q23" s="584"/>
      <c r="R23" s="585"/>
      <c r="S23" s="585"/>
      <c r="T23" s="585"/>
      <c r="U23" s="585"/>
      <c r="V23" s="585"/>
      <c r="W23" s="585"/>
      <c r="X23" s="585"/>
      <c r="Y23" s="586"/>
    </row>
    <row r="24" spans="2:25" ht="14.45" hidden="1" customHeight="1" x14ac:dyDescent="0.25">
      <c r="Q24" s="587"/>
      <c r="R24" s="588"/>
      <c r="S24" s="588"/>
      <c r="T24" s="588"/>
      <c r="U24" s="588"/>
      <c r="V24" s="588"/>
      <c r="W24" s="588"/>
      <c r="X24" s="588"/>
      <c r="Y24" s="589"/>
    </row>
  </sheetData>
  <mergeCells count="15">
    <mergeCell ref="I18:J18"/>
    <mergeCell ref="I19:J19"/>
    <mergeCell ref="Q6:Y19"/>
    <mergeCell ref="F11:P15"/>
    <mergeCell ref="G18:H18"/>
    <mergeCell ref="G19:H19"/>
    <mergeCell ref="E18:F18"/>
    <mergeCell ref="E19:F19"/>
    <mergeCell ref="A1:N4"/>
    <mergeCell ref="H6:K8"/>
    <mergeCell ref="H9:K9"/>
    <mergeCell ref="L6:O6"/>
    <mergeCell ref="L8:O8"/>
    <mergeCell ref="L9:O9"/>
    <mergeCell ref="L7:O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17"/>
  <sheetViews>
    <sheetView workbookViewId="0">
      <selection activeCell="E10" sqref="E10:F10"/>
    </sheetView>
  </sheetViews>
  <sheetFormatPr defaultRowHeight="15" x14ac:dyDescent="0.25"/>
  <cols>
    <col min="1" max="1" width="4" customWidth="1"/>
    <col min="2" max="2" width="9.28515625" bestFit="1" customWidth="1"/>
    <col min="3" max="3" width="18.140625" customWidth="1"/>
    <col min="4" max="4" width="4.42578125" customWidth="1"/>
    <col min="6" max="6" width="13.5703125" customWidth="1"/>
    <col min="7" max="7" width="5.7109375" customWidth="1"/>
    <col min="8" max="8" width="10.42578125" customWidth="1"/>
    <col min="9" max="9" width="10.7109375" customWidth="1"/>
    <col min="11" max="11" width="10.7109375" customWidth="1"/>
    <col min="20" max="20" width="12.140625" customWidth="1"/>
  </cols>
  <sheetData>
    <row r="1" spans="2:20" x14ac:dyDescent="0.25">
      <c r="E1" s="1620" t="s">
        <v>284</v>
      </c>
      <c r="F1" s="1620"/>
    </row>
    <row r="2" spans="2:20" ht="43.15" customHeight="1" thickBot="1" x14ac:dyDescent="0.3">
      <c r="E2" s="1620"/>
      <c r="F2" s="1620"/>
    </row>
    <row r="3" spans="2:20" ht="41.45" customHeight="1" thickBot="1" x14ac:dyDescent="0.3">
      <c r="E3" s="1040" t="s">
        <v>281</v>
      </c>
      <c r="F3" s="1040"/>
      <c r="K3" s="1625" t="s">
        <v>288</v>
      </c>
      <c r="L3" s="1626"/>
      <c r="M3" s="1626"/>
      <c r="N3" s="1627"/>
    </row>
    <row r="4" spans="2:20" ht="18" customHeight="1" thickBot="1" x14ac:dyDescent="0.3">
      <c r="B4" s="1240" t="s">
        <v>276</v>
      </c>
      <c r="C4" s="1240"/>
      <c r="E4" s="1641" t="s">
        <v>277</v>
      </c>
      <c r="F4" s="1642"/>
      <c r="H4" s="1591" t="s">
        <v>278</v>
      </c>
      <c r="I4" s="1592"/>
      <c r="J4" s="1593"/>
      <c r="K4" s="1628"/>
      <c r="L4" s="1629"/>
      <c r="M4" s="1629"/>
      <c r="N4" s="1630"/>
    </row>
    <row r="5" spans="2:20" ht="29.45" customHeight="1" x14ac:dyDescent="0.3">
      <c r="B5" s="532">
        <v>0.25</v>
      </c>
      <c r="C5" s="535">
        <v>532970</v>
      </c>
      <c r="D5" s="533"/>
      <c r="E5" s="1643">
        <v>314035</v>
      </c>
      <c r="F5" s="1644"/>
      <c r="H5" s="536" t="s">
        <v>279</v>
      </c>
      <c r="I5" s="1594">
        <v>187975.77</v>
      </c>
      <c r="J5" s="1595"/>
      <c r="K5" s="538">
        <f>E10/I5</f>
        <v>4.000004894247807</v>
      </c>
    </row>
    <row r="6" spans="2:20" ht="21.75" thickBot="1" x14ac:dyDescent="0.35">
      <c r="B6" s="534">
        <v>0.5</v>
      </c>
      <c r="C6" s="535">
        <v>1065939</v>
      </c>
      <c r="D6" s="533"/>
      <c r="E6" s="1645"/>
      <c r="F6" s="1646"/>
      <c r="H6" s="537" t="s">
        <v>280</v>
      </c>
      <c r="I6" s="1596">
        <v>314035.93</v>
      </c>
      <c r="J6" s="1597"/>
      <c r="K6" s="472">
        <f>C6-E10</f>
        <v>314035</v>
      </c>
    </row>
    <row r="7" spans="2:20" ht="15.75" thickBot="1" x14ac:dyDescent="0.3"/>
    <row r="8" spans="2:20" ht="48.6" customHeight="1" thickBot="1" x14ac:dyDescent="0.3">
      <c r="B8" s="1621" t="s">
        <v>294</v>
      </c>
      <c r="C8" s="1622"/>
      <c r="E8" s="1639" t="s">
        <v>289</v>
      </c>
      <c r="F8" s="1640"/>
      <c r="K8" s="542"/>
      <c r="L8" s="543"/>
      <c r="M8" s="543"/>
      <c r="N8" s="543"/>
      <c r="O8" s="543"/>
      <c r="P8" s="543"/>
      <c r="Q8" s="543"/>
      <c r="R8" s="543"/>
      <c r="S8" s="543"/>
      <c r="T8" s="544"/>
    </row>
    <row r="9" spans="2:20" ht="16.5" thickBot="1" x14ac:dyDescent="0.3">
      <c r="B9" s="1623"/>
      <c r="C9" s="1624"/>
      <c r="E9" s="1608" t="s">
        <v>286</v>
      </c>
      <c r="F9" s="1609"/>
      <c r="H9" s="1604" t="s">
        <v>283</v>
      </c>
      <c r="I9" s="1605"/>
      <c r="K9" s="1600" t="s">
        <v>223</v>
      </c>
      <c r="L9" s="1601"/>
      <c r="Q9" s="1618" t="s">
        <v>291</v>
      </c>
      <c r="R9" s="1618"/>
      <c r="S9" s="1618"/>
      <c r="T9" s="1619"/>
    </row>
    <row r="10" spans="2:20" ht="31.15" customHeight="1" thickBot="1" x14ac:dyDescent="0.3">
      <c r="B10" s="1631">
        <f>C5*4</f>
        <v>2131880</v>
      </c>
      <c r="C10" s="1632"/>
      <c r="E10" s="1610">
        <f>C6-E5</f>
        <v>751904</v>
      </c>
      <c r="F10" s="1611"/>
      <c r="H10" s="1606">
        <v>0.5</v>
      </c>
      <c r="I10" s="1607"/>
      <c r="K10" s="1602">
        <v>100</v>
      </c>
      <c r="L10" s="1603"/>
      <c r="N10" s="1631">
        <f>B10*2</f>
        <v>4263760</v>
      </c>
      <c r="O10" s="1632"/>
      <c r="Q10" s="1633">
        <f>E10*2</f>
        <v>1503808</v>
      </c>
      <c r="R10" s="1634"/>
      <c r="S10" s="1616" t="s">
        <v>290</v>
      </c>
      <c r="T10" s="1617"/>
    </row>
    <row r="11" spans="2:20" ht="24" thickBot="1" x14ac:dyDescent="0.3">
      <c r="F11" s="192">
        <f>(B10-C6)+C6</f>
        <v>2131880</v>
      </c>
      <c r="K11" s="545"/>
      <c r="N11" s="1635">
        <f>N10/2</f>
        <v>2131880</v>
      </c>
      <c r="O11" s="1636"/>
      <c r="Q11" s="1637">
        <f>N11-Q10</f>
        <v>628072</v>
      </c>
      <c r="R11" s="1638"/>
      <c r="S11" s="1614" t="s">
        <v>277</v>
      </c>
      <c r="T11" s="1615"/>
    </row>
    <row r="12" spans="2:20" ht="43.9" customHeight="1" thickBot="1" x14ac:dyDescent="0.3">
      <c r="E12" s="1612" t="s">
        <v>285</v>
      </c>
      <c r="F12" s="1613"/>
      <c r="K12" s="546"/>
      <c r="L12" s="547"/>
      <c r="M12" s="547"/>
      <c r="N12" s="547"/>
      <c r="O12" s="547"/>
      <c r="P12" s="547"/>
      <c r="Q12" s="547"/>
      <c r="R12" s="547"/>
      <c r="S12" s="547"/>
      <c r="T12" s="548"/>
    </row>
    <row r="13" spans="2:20" ht="15.75" thickBot="1" x14ac:dyDescent="0.3">
      <c r="E13" s="1598" t="s">
        <v>287</v>
      </c>
      <c r="F13" s="1599"/>
      <c r="I13" s="192"/>
    </row>
    <row r="17" spans="6:6" x14ac:dyDescent="0.25">
      <c r="F17">
        <f>C12</f>
        <v>0</v>
      </c>
    </row>
  </sheetData>
  <mergeCells count="27">
    <mergeCell ref="S11:T11"/>
    <mergeCell ref="S10:T10"/>
    <mergeCell ref="Q9:T9"/>
    <mergeCell ref="E1:F2"/>
    <mergeCell ref="B8:C9"/>
    <mergeCell ref="K3:N4"/>
    <mergeCell ref="N10:O10"/>
    <mergeCell ref="Q10:R10"/>
    <mergeCell ref="N11:O11"/>
    <mergeCell ref="Q11:R11"/>
    <mergeCell ref="E8:F8"/>
    <mergeCell ref="B10:C10"/>
    <mergeCell ref="E3:F3"/>
    <mergeCell ref="B4:C4"/>
    <mergeCell ref="E4:F4"/>
    <mergeCell ref="E5:F6"/>
    <mergeCell ref="H4:J4"/>
    <mergeCell ref="I5:J5"/>
    <mergeCell ref="I6:J6"/>
    <mergeCell ref="E13:F13"/>
    <mergeCell ref="K9:L9"/>
    <mergeCell ref="K10:L10"/>
    <mergeCell ref="H9:I9"/>
    <mergeCell ref="H10:I10"/>
    <mergeCell ref="E9:F9"/>
    <mergeCell ref="E10:F10"/>
    <mergeCell ref="E12:F12"/>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17"/>
  <sheetViews>
    <sheetView zoomScale="43" zoomScaleNormal="43" workbookViewId="0">
      <selection activeCell="D10" sqref="D10"/>
    </sheetView>
  </sheetViews>
  <sheetFormatPr defaultRowHeight="15" x14ac:dyDescent="0.25"/>
  <cols>
    <col min="1" max="1" width="4" customWidth="1"/>
    <col min="2" max="2" width="15.140625" customWidth="1"/>
    <col min="3" max="3" width="18.140625" customWidth="1"/>
    <col min="4" max="4" width="18.7109375" customWidth="1"/>
    <col min="6" max="6" width="13.5703125" customWidth="1"/>
    <col min="7" max="7" width="11.85546875" customWidth="1"/>
    <col min="8" max="8" width="10.42578125" customWidth="1"/>
    <col min="9" max="9" width="10.7109375" customWidth="1"/>
    <col min="11" max="11" width="10.7109375" customWidth="1"/>
    <col min="20" max="20" width="12.140625" customWidth="1"/>
  </cols>
  <sheetData>
    <row r="1" spans="2:20" ht="30" x14ac:dyDescent="0.25">
      <c r="B1" s="541" t="s">
        <v>295</v>
      </c>
      <c r="C1" s="268">
        <v>44180.74</v>
      </c>
      <c r="E1" s="1653"/>
      <c r="F1" s="1653"/>
    </row>
    <row r="2" spans="2:20" ht="43.15" customHeight="1" thickBot="1" x14ac:dyDescent="0.3">
      <c r="B2" s="541" t="s">
        <v>296</v>
      </c>
      <c r="C2" s="268">
        <v>77425.72</v>
      </c>
      <c r="E2" s="1653"/>
      <c r="F2" s="1653"/>
    </row>
    <row r="3" spans="2:20" ht="41.45" customHeight="1" thickBot="1" x14ac:dyDescent="0.3">
      <c r="B3" s="541" t="s">
        <v>292</v>
      </c>
      <c r="C3" s="268">
        <v>890100.04</v>
      </c>
      <c r="E3" s="1641" t="s">
        <v>298</v>
      </c>
      <c r="F3" s="1642"/>
      <c r="K3" s="1625" t="s">
        <v>288</v>
      </c>
      <c r="L3" s="1626"/>
      <c r="M3" s="1626"/>
      <c r="N3" s="1627"/>
      <c r="P3" s="1654" t="s">
        <v>303</v>
      </c>
      <c r="Q3" s="1655"/>
    </row>
    <row r="4" spans="2:20" ht="18" customHeight="1" thickBot="1" x14ac:dyDescent="0.3">
      <c r="B4" s="1240" t="s">
        <v>309</v>
      </c>
      <c r="C4" s="1240"/>
      <c r="E4" s="1641" t="s">
        <v>277</v>
      </c>
      <c r="F4" s="1642"/>
      <c r="H4" s="1591" t="s">
        <v>278</v>
      </c>
      <c r="I4" s="1592"/>
      <c r="J4" s="1593"/>
      <c r="K4" s="1628"/>
      <c r="L4" s="1629"/>
      <c r="M4" s="1629"/>
      <c r="N4" s="1630"/>
      <c r="P4" s="1656">
        <f>('BAŞ SAYFA'!E7*5)+('BAŞ SAYFA'!E8*7)+' tamamlama deney örnek kişi'!C12</f>
        <v>412947.72</v>
      </c>
      <c r="Q4" s="1657"/>
    </row>
    <row r="5" spans="2:20" ht="29.45" customHeight="1" x14ac:dyDescent="0.3">
      <c r="B5" s="532">
        <v>0.25</v>
      </c>
      <c r="C5" s="535">
        <f>I5</f>
        <v>330594.07</v>
      </c>
      <c r="D5" s="533"/>
      <c r="E5" s="1643">
        <v>392054</v>
      </c>
      <c r="F5" s="1644"/>
      <c r="H5" s="536" t="s">
        <v>279</v>
      </c>
      <c r="I5" s="1594">
        <v>330594.07</v>
      </c>
      <c r="J5" s="1595"/>
      <c r="K5" s="538">
        <f>E10/I5</f>
        <v>2.8935485745403722</v>
      </c>
    </row>
    <row r="6" spans="2:20" ht="21.75" thickBot="1" x14ac:dyDescent="0.35">
      <c r="B6" s="534">
        <v>0.5</v>
      </c>
      <c r="C6" s="535">
        <f>I5*2</f>
        <v>661188.14</v>
      </c>
      <c r="D6" s="533"/>
      <c r="E6" s="1645"/>
      <c r="F6" s="1646"/>
      <c r="H6" s="537" t="s">
        <v>280</v>
      </c>
      <c r="I6" s="1596">
        <v>392053.72</v>
      </c>
      <c r="J6" s="1597"/>
      <c r="K6" s="472"/>
    </row>
    <row r="7" spans="2:20" ht="15.75" thickBot="1" x14ac:dyDescent="0.3"/>
    <row r="8" spans="2:20" ht="48.6" customHeight="1" thickBot="1" x14ac:dyDescent="0.3">
      <c r="B8" s="1621" t="s">
        <v>301</v>
      </c>
      <c r="C8" s="1622"/>
      <c r="E8" s="1639" t="s">
        <v>289</v>
      </c>
      <c r="F8" s="1640"/>
      <c r="K8" s="542"/>
      <c r="L8" s="543"/>
      <c r="M8" s="543"/>
      <c r="N8" s="543"/>
      <c r="O8" s="543"/>
      <c r="P8" s="543"/>
      <c r="Q8" s="543"/>
      <c r="R8" s="543"/>
      <c r="S8" s="543"/>
      <c r="T8" s="544"/>
    </row>
    <row r="9" spans="2:20" ht="30.75" thickBot="1" x14ac:dyDescent="0.3">
      <c r="B9" s="1623"/>
      <c r="C9" s="1624"/>
      <c r="D9" s="558" t="s">
        <v>300</v>
      </c>
      <c r="E9" s="1608" t="s">
        <v>286</v>
      </c>
      <c r="F9" s="1609"/>
      <c r="H9" s="1604" t="s">
        <v>283</v>
      </c>
      <c r="I9" s="1605"/>
      <c r="K9" s="1600" t="s">
        <v>223</v>
      </c>
      <c r="L9" s="1601"/>
      <c r="Q9" s="1618" t="s">
        <v>291</v>
      </c>
      <c r="R9" s="1618"/>
      <c r="S9" s="1618"/>
      <c r="T9" s="1619"/>
    </row>
    <row r="10" spans="2:20" ht="31.15" customHeight="1" thickBot="1" x14ac:dyDescent="0.3">
      <c r="B10" s="1649">
        <f>E10+E5</f>
        <v>1348644</v>
      </c>
      <c r="C10" s="1650"/>
      <c r="D10" s="559">
        <f>I5*4</f>
        <v>1322376.28</v>
      </c>
      <c r="E10" s="1610">
        <f>C3+(4*C2)-(2*C1)-(2*C2)</f>
        <v>956590</v>
      </c>
      <c r="F10" s="1611"/>
      <c r="G10" s="472">
        <f>B10-E5</f>
        <v>956590</v>
      </c>
      <c r="H10" s="1651" t="s">
        <v>293</v>
      </c>
      <c r="I10" s="1652"/>
      <c r="K10" s="1602" t="s">
        <v>282</v>
      </c>
      <c r="L10" s="1603"/>
      <c r="N10" s="1631">
        <f>B10*2</f>
        <v>2697288</v>
      </c>
      <c r="O10" s="1632"/>
      <c r="Q10" s="1633">
        <f>E10*2</f>
        <v>1913180</v>
      </c>
      <c r="R10" s="1634"/>
      <c r="S10" s="1616" t="s">
        <v>290</v>
      </c>
      <c r="T10" s="1617"/>
    </row>
    <row r="11" spans="2:20" ht="30.75" thickBot="1" x14ac:dyDescent="0.3">
      <c r="B11" s="552" t="s">
        <v>302</v>
      </c>
      <c r="C11" s="553">
        <f>B10-E10</f>
        <v>392054</v>
      </c>
      <c r="E11" s="192"/>
      <c r="K11" s="545"/>
      <c r="N11" s="1635">
        <f>N10/2</f>
        <v>1348644</v>
      </c>
      <c r="O11" s="1636"/>
      <c r="Q11" s="1637">
        <f>N11-Q10</f>
        <v>-564536</v>
      </c>
      <c r="R11" s="1638"/>
      <c r="S11" s="1614" t="s">
        <v>277</v>
      </c>
      <c r="T11" s="1615"/>
    </row>
    <row r="12" spans="2:20" ht="43.9" customHeight="1" thickBot="1" x14ac:dyDescent="0.3">
      <c r="B12" s="554" t="s">
        <v>297</v>
      </c>
      <c r="C12" s="553">
        <f>B10-D10</f>
        <v>26267.719999999972</v>
      </c>
      <c r="E12" s="1612" t="s">
        <v>299</v>
      </c>
      <c r="F12" s="1613"/>
      <c r="H12" s="560">
        <f>(2*C1)+(4*C2)</f>
        <v>398064.36</v>
      </c>
      <c r="K12" s="546"/>
      <c r="L12" s="547"/>
      <c r="M12" s="547"/>
      <c r="N12" s="547"/>
      <c r="O12" s="547"/>
      <c r="P12" s="547"/>
      <c r="Q12" s="547"/>
      <c r="R12" s="547"/>
      <c r="S12" s="547"/>
      <c r="T12" s="548"/>
    </row>
    <row r="13" spans="2:20" ht="48.6" customHeight="1" thickBot="1" x14ac:dyDescent="0.3">
      <c r="B13" s="555"/>
      <c r="C13" s="556"/>
      <c r="E13" s="1647"/>
      <c r="F13" s="1648"/>
    </row>
    <row r="17" spans="6:6" x14ac:dyDescent="0.25">
      <c r="F17">
        <f>C12</f>
        <v>26267.719999999972</v>
      </c>
    </row>
  </sheetData>
  <mergeCells count="29">
    <mergeCell ref="B4:C4"/>
    <mergeCell ref="E4:F4"/>
    <mergeCell ref="H4:J4"/>
    <mergeCell ref="E9:F9"/>
    <mergeCell ref="H9:I9"/>
    <mergeCell ref="E5:F6"/>
    <mergeCell ref="I5:J5"/>
    <mergeCell ref="I6:J6"/>
    <mergeCell ref="E1:F2"/>
    <mergeCell ref="E3:F3"/>
    <mergeCell ref="K3:N4"/>
    <mergeCell ref="P3:Q3"/>
    <mergeCell ref="P4:Q4"/>
    <mergeCell ref="K9:L9"/>
    <mergeCell ref="Q9:T9"/>
    <mergeCell ref="B10:C10"/>
    <mergeCell ref="E10:F10"/>
    <mergeCell ref="H10:I10"/>
    <mergeCell ref="K10:L10"/>
    <mergeCell ref="N10:O10"/>
    <mergeCell ref="Q10:R10"/>
    <mergeCell ref="S10:T10"/>
    <mergeCell ref="B8:C9"/>
    <mergeCell ref="E8:F8"/>
    <mergeCell ref="N11:O11"/>
    <mergeCell ref="Q11:R11"/>
    <mergeCell ref="S11:T11"/>
    <mergeCell ref="E12:F12"/>
    <mergeCell ref="E13:F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31"/>
  <sheetViews>
    <sheetView zoomScale="90" zoomScaleNormal="90" workbookViewId="0">
      <selection activeCell="B1" sqref="B1:S31"/>
    </sheetView>
  </sheetViews>
  <sheetFormatPr defaultRowHeight="15" x14ac:dyDescent="0.25"/>
  <sheetData>
    <row r="1" spans="2:19" ht="14.45" customHeight="1" x14ac:dyDescent="0.25">
      <c r="B1" s="958" t="s">
        <v>547</v>
      </c>
      <c r="C1" s="958"/>
      <c r="D1" s="958"/>
      <c r="E1" s="958"/>
      <c r="F1" s="958"/>
      <c r="G1" s="958"/>
      <c r="H1" s="958"/>
      <c r="I1" s="958"/>
      <c r="J1" s="958"/>
      <c r="K1" s="958"/>
      <c r="L1" s="958"/>
      <c r="M1" s="958"/>
      <c r="N1" s="958"/>
      <c r="O1" s="958"/>
      <c r="P1" s="958"/>
      <c r="Q1" s="958"/>
      <c r="R1" s="958"/>
      <c r="S1" s="958"/>
    </row>
    <row r="2" spans="2:19" x14ac:dyDescent="0.25">
      <c r="B2" s="958"/>
      <c r="C2" s="958"/>
      <c r="D2" s="958"/>
      <c r="E2" s="958"/>
      <c r="F2" s="958"/>
      <c r="G2" s="958"/>
      <c r="H2" s="958"/>
      <c r="I2" s="958"/>
      <c r="J2" s="958"/>
      <c r="K2" s="958"/>
      <c r="L2" s="958"/>
      <c r="M2" s="958"/>
      <c r="N2" s="958"/>
      <c r="O2" s="958"/>
      <c r="P2" s="958"/>
      <c r="Q2" s="958"/>
      <c r="R2" s="958"/>
      <c r="S2" s="958"/>
    </row>
    <row r="3" spans="2:19" x14ac:dyDescent="0.25">
      <c r="B3" s="958"/>
      <c r="C3" s="958"/>
      <c r="D3" s="958"/>
      <c r="E3" s="958"/>
      <c r="F3" s="958"/>
      <c r="G3" s="958"/>
      <c r="H3" s="958"/>
      <c r="I3" s="958"/>
      <c r="J3" s="958"/>
      <c r="K3" s="958"/>
      <c r="L3" s="958"/>
      <c r="M3" s="958"/>
      <c r="N3" s="958"/>
      <c r="O3" s="958"/>
      <c r="P3" s="958"/>
      <c r="Q3" s="958"/>
      <c r="R3" s="958"/>
      <c r="S3" s="958"/>
    </row>
    <row r="4" spans="2:19" x14ac:dyDescent="0.25">
      <c r="B4" s="958"/>
      <c r="C4" s="958"/>
      <c r="D4" s="958"/>
      <c r="E4" s="958"/>
      <c r="F4" s="958"/>
      <c r="G4" s="958"/>
      <c r="H4" s="958"/>
      <c r="I4" s="958"/>
      <c r="J4" s="958"/>
      <c r="K4" s="958"/>
      <c r="L4" s="958"/>
      <c r="M4" s="958"/>
      <c r="N4" s="958"/>
      <c r="O4" s="958"/>
      <c r="P4" s="958"/>
      <c r="Q4" s="958"/>
      <c r="R4" s="958"/>
      <c r="S4" s="958"/>
    </row>
    <row r="5" spans="2:19" x14ac:dyDescent="0.25">
      <c r="B5" s="958"/>
      <c r="C5" s="958"/>
      <c r="D5" s="958"/>
      <c r="E5" s="958"/>
      <c r="F5" s="958"/>
      <c r="G5" s="958"/>
      <c r="H5" s="958"/>
      <c r="I5" s="958"/>
      <c r="J5" s="958"/>
      <c r="K5" s="958"/>
      <c r="L5" s="958"/>
      <c r="M5" s="958"/>
      <c r="N5" s="958"/>
      <c r="O5" s="958"/>
      <c r="P5" s="958"/>
      <c r="Q5" s="958"/>
      <c r="R5" s="958"/>
      <c r="S5" s="958"/>
    </row>
    <row r="6" spans="2:19" x14ac:dyDescent="0.25">
      <c r="B6" s="958"/>
      <c r="C6" s="958"/>
      <c r="D6" s="958"/>
      <c r="E6" s="958"/>
      <c r="F6" s="958"/>
      <c r="G6" s="958"/>
      <c r="H6" s="958"/>
      <c r="I6" s="958"/>
      <c r="J6" s="958"/>
      <c r="K6" s="958"/>
      <c r="L6" s="958"/>
      <c r="M6" s="958"/>
      <c r="N6" s="958"/>
      <c r="O6" s="958"/>
      <c r="P6" s="958"/>
      <c r="Q6" s="958"/>
      <c r="R6" s="958"/>
      <c r="S6" s="958"/>
    </row>
    <row r="7" spans="2:19" x14ac:dyDescent="0.25">
      <c r="B7" s="958"/>
      <c r="C7" s="958"/>
      <c r="D7" s="958"/>
      <c r="E7" s="958"/>
      <c r="F7" s="958"/>
      <c r="G7" s="958"/>
      <c r="H7" s="958"/>
      <c r="I7" s="958"/>
      <c r="J7" s="958"/>
      <c r="K7" s="958"/>
      <c r="L7" s="958"/>
      <c r="M7" s="958"/>
      <c r="N7" s="958"/>
      <c r="O7" s="958"/>
      <c r="P7" s="958"/>
      <c r="Q7" s="958"/>
      <c r="R7" s="958"/>
      <c r="S7" s="958"/>
    </row>
    <row r="8" spans="2:19" x14ac:dyDescent="0.25">
      <c r="B8" s="958"/>
      <c r="C8" s="958"/>
      <c r="D8" s="958"/>
      <c r="E8" s="958"/>
      <c r="F8" s="958"/>
      <c r="G8" s="958"/>
      <c r="H8" s="958"/>
      <c r="I8" s="958"/>
      <c r="J8" s="958"/>
      <c r="K8" s="958"/>
      <c r="L8" s="958"/>
      <c r="M8" s="958"/>
      <c r="N8" s="958"/>
      <c r="O8" s="958"/>
      <c r="P8" s="958"/>
      <c r="Q8" s="958"/>
      <c r="R8" s="958"/>
      <c r="S8" s="958"/>
    </row>
    <row r="9" spans="2:19" x14ac:dyDescent="0.25">
      <c r="B9" s="958"/>
      <c r="C9" s="958"/>
      <c r="D9" s="958"/>
      <c r="E9" s="958"/>
      <c r="F9" s="958"/>
      <c r="G9" s="958"/>
      <c r="H9" s="958"/>
      <c r="I9" s="958"/>
      <c r="J9" s="958"/>
      <c r="K9" s="958"/>
      <c r="L9" s="958"/>
      <c r="M9" s="958"/>
      <c r="N9" s="958"/>
      <c r="O9" s="958"/>
      <c r="P9" s="958"/>
      <c r="Q9" s="958"/>
      <c r="R9" s="958"/>
      <c r="S9" s="958"/>
    </row>
    <row r="10" spans="2:19" ht="14.45" customHeight="1" x14ac:dyDescent="0.25">
      <c r="B10" s="958"/>
      <c r="C10" s="958"/>
      <c r="D10" s="958"/>
      <c r="E10" s="958"/>
      <c r="F10" s="958"/>
      <c r="G10" s="958"/>
      <c r="H10" s="958"/>
      <c r="I10" s="958"/>
      <c r="J10" s="958"/>
      <c r="K10" s="958"/>
      <c r="L10" s="958"/>
      <c r="M10" s="958"/>
      <c r="N10" s="958"/>
      <c r="O10" s="958"/>
      <c r="P10" s="958"/>
      <c r="Q10" s="958"/>
      <c r="R10" s="958"/>
      <c r="S10" s="958"/>
    </row>
    <row r="11" spans="2:19" x14ac:dyDescent="0.25">
      <c r="B11" s="958"/>
      <c r="C11" s="958"/>
      <c r="D11" s="958"/>
      <c r="E11" s="958"/>
      <c r="F11" s="958"/>
      <c r="G11" s="958"/>
      <c r="H11" s="958"/>
      <c r="I11" s="958"/>
      <c r="J11" s="958"/>
      <c r="K11" s="958"/>
      <c r="L11" s="958"/>
      <c r="M11" s="958"/>
      <c r="N11" s="958"/>
      <c r="O11" s="958"/>
      <c r="P11" s="958"/>
      <c r="Q11" s="958"/>
      <c r="R11" s="958"/>
      <c r="S11" s="958"/>
    </row>
    <row r="12" spans="2:19" x14ac:dyDescent="0.25">
      <c r="B12" s="958"/>
      <c r="C12" s="958"/>
      <c r="D12" s="958"/>
      <c r="E12" s="958"/>
      <c r="F12" s="958"/>
      <c r="G12" s="958"/>
      <c r="H12" s="958"/>
      <c r="I12" s="958"/>
      <c r="J12" s="958"/>
      <c r="K12" s="958"/>
      <c r="L12" s="958"/>
      <c r="M12" s="958"/>
      <c r="N12" s="958"/>
      <c r="O12" s="958"/>
      <c r="P12" s="958"/>
      <c r="Q12" s="958"/>
      <c r="R12" s="958"/>
      <c r="S12" s="958"/>
    </row>
    <row r="13" spans="2:19" x14ac:dyDescent="0.25">
      <c r="B13" s="958"/>
      <c r="C13" s="958"/>
      <c r="D13" s="958"/>
      <c r="E13" s="958"/>
      <c r="F13" s="958"/>
      <c r="G13" s="958"/>
      <c r="H13" s="958"/>
      <c r="I13" s="958"/>
      <c r="J13" s="958"/>
      <c r="K13" s="958"/>
      <c r="L13" s="958"/>
      <c r="M13" s="958"/>
      <c r="N13" s="958"/>
      <c r="O13" s="958"/>
      <c r="P13" s="958"/>
      <c r="Q13" s="958"/>
      <c r="R13" s="958"/>
      <c r="S13" s="958"/>
    </row>
    <row r="14" spans="2:19" x14ac:dyDescent="0.25">
      <c r="B14" s="958"/>
      <c r="C14" s="958"/>
      <c r="D14" s="958"/>
      <c r="E14" s="958"/>
      <c r="F14" s="958"/>
      <c r="G14" s="958"/>
      <c r="H14" s="958"/>
      <c r="I14" s="958"/>
      <c r="J14" s="958"/>
      <c r="K14" s="958"/>
      <c r="L14" s="958"/>
      <c r="M14" s="958"/>
      <c r="N14" s="958"/>
      <c r="O14" s="958"/>
      <c r="P14" s="958"/>
      <c r="Q14" s="958"/>
      <c r="R14" s="958"/>
      <c r="S14" s="958"/>
    </row>
    <row r="15" spans="2:19" x14ac:dyDescent="0.25">
      <c r="B15" s="958"/>
      <c r="C15" s="958"/>
      <c r="D15" s="958"/>
      <c r="E15" s="958"/>
      <c r="F15" s="958"/>
      <c r="G15" s="958"/>
      <c r="H15" s="958"/>
      <c r="I15" s="958"/>
      <c r="J15" s="958"/>
      <c r="K15" s="958"/>
      <c r="L15" s="958"/>
      <c r="M15" s="958"/>
      <c r="N15" s="958"/>
      <c r="O15" s="958"/>
      <c r="P15" s="958"/>
      <c r="Q15" s="958"/>
      <c r="R15" s="958"/>
      <c r="S15" s="958"/>
    </row>
    <row r="16" spans="2:19" x14ac:dyDescent="0.25">
      <c r="B16" s="958"/>
      <c r="C16" s="958"/>
      <c r="D16" s="958"/>
      <c r="E16" s="958"/>
      <c r="F16" s="958"/>
      <c r="G16" s="958"/>
      <c r="H16" s="958"/>
      <c r="I16" s="958"/>
      <c r="J16" s="958"/>
      <c r="K16" s="958"/>
      <c r="L16" s="958"/>
      <c r="M16" s="958"/>
      <c r="N16" s="958"/>
      <c r="O16" s="958"/>
      <c r="P16" s="958"/>
      <c r="Q16" s="958"/>
      <c r="R16" s="958"/>
      <c r="S16" s="958"/>
    </row>
    <row r="17" spans="2:19" x14ac:dyDescent="0.25">
      <c r="B17" s="958"/>
      <c r="C17" s="958"/>
      <c r="D17" s="958"/>
      <c r="E17" s="958"/>
      <c r="F17" s="958"/>
      <c r="G17" s="958"/>
      <c r="H17" s="958"/>
      <c r="I17" s="958"/>
      <c r="J17" s="958"/>
      <c r="K17" s="958"/>
      <c r="L17" s="958"/>
      <c r="M17" s="958"/>
      <c r="N17" s="958"/>
      <c r="O17" s="958"/>
      <c r="P17" s="958"/>
      <c r="Q17" s="958"/>
      <c r="R17" s="958"/>
      <c r="S17" s="958"/>
    </row>
    <row r="18" spans="2:19" x14ac:dyDescent="0.25">
      <c r="B18" s="958"/>
      <c r="C18" s="958"/>
      <c r="D18" s="958"/>
      <c r="E18" s="958"/>
      <c r="F18" s="958"/>
      <c r="G18" s="958"/>
      <c r="H18" s="958"/>
      <c r="I18" s="958"/>
      <c r="J18" s="958"/>
      <c r="K18" s="958"/>
      <c r="L18" s="958"/>
      <c r="M18" s="958"/>
      <c r="N18" s="958"/>
      <c r="O18" s="958"/>
      <c r="P18" s="958"/>
      <c r="Q18" s="958"/>
      <c r="R18" s="958"/>
      <c r="S18" s="958"/>
    </row>
    <row r="19" spans="2:19" x14ac:dyDescent="0.25">
      <c r="B19" s="958"/>
      <c r="C19" s="958"/>
      <c r="D19" s="958"/>
      <c r="E19" s="958"/>
      <c r="F19" s="958"/>
      <c r="G19" s="958"/>
      <c r="H19" s="958"/>
      <c r="I19" s="958"/>
      <c r="J19" s="958"/>
      <c r="K19" s="958"/>
      <c r="L19" s="958"/>
      <c r="M19" s="958"/>
      <c r="N19" s="958"/>
      <c r="O19" s="958"/>
      <c r="P19" s="958"/>
      <c r="Q19" s="958"/>
      <c r="R19" s="958"/>
      <c r="S19" s="958"/>
    </row>
    <row r="20" spans="2:19" x14ac:dyDescent="0.25">
      <c r="B20" s="958"/>
      <c r="C20" s="958"/>
      <c r="D20" s="958"/>
      <c r="E20" s="958"/>
      <c r="F20" s="958"/>
      <c r="G20" s="958"/>
      <c r="H20" s="958"/>
      <c r="I20" s="958"/>
      <c r="J20" s="958"/>
      <c r="K20" s="958"/>
      <c r="L20" s="958"/>
      <c r="M20" s="958"/>
      <c r="N20" s="958"/>
      <c r="O20" s="958"/>
      <c r="P20" s="958"/>
      <c r="Q20" s="958"/>
      <c r="R20" s="958"/>
      <c r="S20" s="958"/>
    </row>
    <row r="21" spans="2:19" x14ac:dyDescent="0.25">
      <c r="B21" s="958"/>
      <c r="C21" s="958"/>
      <c r="D21" s="958"/>
      <c r="E21" s="958"/>
      <c r="F21" s="958"/>
      <c r="G21" s="958"/>
      <c r="H21" s="958"/>
      <c r="I21" s="958"/>
      <c r="J21" s="958"/>
      <c r="K21" s="958"/>
      <c r="L21" s="958"/>
      <c r="M21" s="958"/>
      <c r="N21" s="958"/>
      <c r="O21" s="958"/>
      <c r="P21" s="958"/>
      <c r="Q21" s="958"/>
      <c r="R21" s="958"/>
      <c r="S21" s="958"/>
    </row>
    <row r="22" spans="2:19" x14ac:dyDescent="0.25">
      <c r="B22" s="958"/>
      <c r="C22" s="958"/>
      <c r="D22" s="958"/>
      <c r="E22" s="958"/>
      <c r="F22" s="958"/>
      <c r="G22" s="958"/>
      <c r="H22" s="958"/>
      <c r="I22" s="958"/>
      <c r="J22" s="958"/>
      <c r="K22" s="958"/>
      <c r="L22" s="958"/>
      <c r="M22" s="958"/>
      <c r="N22" s="958"/>
      <c r="O22" s="958"/>
      <c r="P22" s="958"/>
      <c r="Q22" s="958"/>
      <c r="R22" s="958"/>
      <c r="S22" s="958"/>
    </row>
    <row r="23" spans="2:19" x14ac:dyDescent="0.25">
      <c r="B23" s="958"/>
      <c r="C23" s="958"/>
      <c r="D23" s="958"/>
      <c r="E23" s="958"/>
      <c r="F23" s="958"/>
      <c r="G23" s="958"/>
      <c r="H23" s="958"/>
      <c r="I23" s="958"/>
      <c r="J23" s="958"/>
      <c r="K23" s="958"/>
      <c r="L23" s="958"/>
      <c r="M23" s="958"/>
      <c r="N23" s="958"/>
      <c r="O23" s="958"/>
      <c r="P23" s="958"/>
      <c r="Q23" s="958"/>
      <c r="R23" s="958"/>
      <c r="S23" s="958"/>
    </row>
    <row r="24" spans="2:19" x14ac:dyDescent="0.25">
      <c r="B24" s="958"/>
      <c r="C24" s="958"/>
      <c r="D24" s="958"/>
      <c r="E24" s="958"/>
      <c r="F24" s="958"/>
      <c r="G24" s="958"/>
      <c r="H24" s="958"/>
      <c r="I24" s="958"/>
      <c r="J24" s="958"/>
      <c r="K24" s="958"/>
      <c r="L24" s="958"/>
      <c r="M24" s="958"/>
      <c r="N24" s="958"/>
      <c r="O24" s="958"/>
      <c r="P24" s="958"/>
      <c r="Q24" s="958"/>
      <c r="R24" s="958"/>
      <c r="S24" s="958"/>
    </row>
    <row r="25" spans="2:19" x14ac:dyDescent="0.25">
      <c r="B25" s="958"/>
      <c r="C25" s="958"/>
      <c r="D25" s="958"/>
      <c r="E25" s="958"/>
      <c r="F25" s="958"/>
      <c r="G25" s="958"/>
      <c r="H25" s="958"/>
      <c r="I25" s="958"/>
      <c r="J25" s="958"/>
      <c r="K25" s="958"/>
      <c r="L25" s="958"/>
      <c r="M25" s="958"/>
      <c r="N25" s="958"/>
      <c r="O25" s="958"/>
      <c r="P25" s="958"/>
      <c r="Q25" s="958"/>
      <c r="R25" s="958"/>
      <c r="S25" s="958"/>
    </row>
    <row r="26" spans="2:19" x14ac:dyDescent="0.25">
      <c r="B26" s="958"/>
      <c r="C26" s="958"/>
      <c r="D26" s="958"/>
      <c r="E26" s="958"/>
      <c r="F26" s="958"/>
      <c r="G26" s="958"/>
      <c r="H26" s="958"/>
      <c r="I26" s="958"/>
      <c r="J26" s="958"/>
      <c r="K26" s="958"/>
      <c r="L26" s="958"/>
      <c r="M26" s="958"/>
      <c r="N26" s="958"/>
      <c r="O26" s="958"/>
      <c r="P26" s="958"/>
      <c r="Q26" s="958"/>
      <c r="R26" s="958"/>
      <c r="S26" s="958"/>
    </row>
    <row r="27" spans="2:19" x14ac:dyDescent="0.25">
      <c r="B27" s="958"/>
      <c r="C27" s="958"/>
      <c r="D27" s="958"/>
      <c r="E27" s="958"/>
      <c r="F27" s="958"/>
      <c r="G27" s="958"/>
      <c r="H27" s="958"/>
      <c r="I27" s="958"/>
      <c r="J27" s="958"/>
      <c r="K27" s="958"/>
      <c r="L27" s="958"/>
      <c r="M27" s="958"/>
      <c r="N27" s="958"/>
      <c r="O27" s="958"/>
      <c r="P27" s="958"/>
      <c r="Q27" s="958"/>
      <c r="R27" s="958"/>
      <c r="S27" s="958"/>
    </row>
    <row r="28" spans="2:19" x14ac:dyDescent="0.25">
      <c r="B28" s="958"/>
      <c r="C28" s="958"/>
      <c r="D28" s="958"/>
      <c r="E28" s="958"/>
      <c r="F28" s="958"/>
      <c r="G28" s="958"/>
      <c r="H28" s="958"/>
      <c r="I28" s="958"/>
      <c r="J28" s="958"/>
      <c r="K28" s="958"/>
      <c r="L28" s="958"/>
      <c r="M28" s="958"/>
      <c r="N28" s="958"/>
      <c r="O28" s="958"/>
      <c r="P28" s="958"/>
      <c r="Q28" s="958"/>
      <c r="R28" s="958"/>
      <c r="S28" s="958"/>
    </row>
    <row r="29" spans="2:19" x14ac:dyDescent="0.25">
      <c r="B29" s="958"/>
      <c r="C29" s="958"/>
      <c r="D29" s="958"/>
      <c r="E29" s="958"/>
      <c r="F29" s="958"/>
      <c r="G29" s="958"/>
      <c r="H29" s="958"/>
      <c r="I29" s="958"/>
      <c r="J29" s="958"/>
      <c r="K29" s="958"/>
      <c r="L29" s="958"/>
      <c r="M29" s="958"/>
      <c r="N29" s="958"/>
      <c r="O29" s="958"/>
      <c r="P29" s="958"/>
      <c r="Q29" s="958"/>
      <c r="R29" s="958"/>
      <c r="S29" s="958"/>
    </row>
    <row r="30" spans="2:19" x14ac:dyDescent="0.25">
      <c r="B30" s="958"/>
      <c r="C30" s="958"/>
      <c r="D30" s="958"/>
      <c r="E30" s="958"/>
      <c r="F30" s="958"/>
      <c r="G30" s="958"/>
      <c r="H30" s="958"/>
      <c r="I30" s="958"/>
      <c r="J30" s="958"/>
      <c r="K30" s="958"/>
      <c r="L30" s="958"/>
      <c r="M30" s="958"/>
      <c r="N30" s="958"/>
      <c r="O30" s="958"/>
      <c r="P30" s="958"/>
      <c r="Q30" s="958"/>
      <c r="R30" s="958"/>
      <c r="S30" s="958"/>
    </row>
    <row r="31" spans="2:19" x14ac:dyDescent="0.25">
      <c r="B31" s="958"/>
      <c r="C31" s="958"/>
      <c r="D31" s="958"/>
      <c r="E31" s="958"/>
      <c r="F31" s="958"/>
      <c r="G31" s="958"/>
      <c r="H31" s="958"/>
      <c r="I31" s="958"/>
      <c r="J31" s="958"/>
      <c r="K31" s="958"/>
      <c r="L31" s="958"/>
      <c r="M31" s="958"/>
      <c r="N31" s="958"/>
      <c r="O31" s="958"/>
      <c r="P31" s="958"/>
      <c r="Q31" s="958"/>
      <c r="R31" s="958"/>
      <c r="S31" s="958"/>
    </row>
  </sheetData>
  <mergeCells count="1">
    <mergeCell ref="B1:S31"/>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17"/>
  <sheetViews>
    <sheetView topLeftCell="A2" zoomScale="85" zoomScaleNormal="85" workbookViewId="0">
      <selection activeCell="N13" sqref="N13"/>
    </sheetView>
  </sheetViews>
  <sheetFormatPr defaultRowHeight="15" x14ac:dyDescent="0.25"/>
  <cols>
    <col min="1" max="1" width="4" customWidth="1"/>
    <col min="2" max="2" width="15.140625" customWidth="1"/>
    <col min="3" max="3" width="18.140625" customWidth="1"/>
    <col min="4" max="4" width="18.7109375" customWidth="1"/>
    <col min="6" max="6" width="13.5703125" customWidth="1"/>
    <col min="7" max="7" width="11.85546875" customWidth="1"/>
    <col min="8" max="8" width="10.42578125" customWidth="1"/>
    <col min="9" max="9" width="10.7109375" customWidth="1"/>
    <col min="10" max="10" width="9.140625" bestFit="1" customWidth="1"/>
    <col min="11" max="11" width="10.7109375" customWidth="1"/>
    <col min="12" max="12" width="9.140625" bestFit="1" customWidth="1"/>
    <col min="20" max="20" width="12.140625" customWidth="1"/>
  </cols>
  <sheetData>
    <row r="1" spans="2:20" ht="15.75" thickBot="1" x14ac:dyDescent="0.3">
      <c r="B1" s="541" t="s">
        <v>304</v>
      </c>
      <c r="C1" s="268">
        <f>'BAŞ SAYFA'!E7</f>
        <v>22386</v>
      </c>
      <c r="E1" s="1653"/>
      <c r="F1" s="1653"/>
    </row>
    <row r="2" spans="2:20" ht="43.15" customHeight="1" thickBot="1" x14ac:dyDescent="0.3">
      <c r="B2" s="541" t="s">
        <v>305</v>
      </c>
      <c r="C2" s="564">
        <f>'BAŞ SAYFA'!E8</f>
        <v>39250</v>
      </c>
      <c r="D2" s="565" t="s">
        <v>308</v>
      </c>
      <c r="E2" s="1653"/>
      <c r="F2" s="1653"/>
      <c r="G2" s="571">
        <f>D3-C1</f>
        <v>1780080</v>
      </c>
    </row>
    <row r="3" spans="2:20" ht="41.45" customHeight="1" thickBot="1" x14ac:dyDescent="0.3">
      <c r="B3" s="541" t="s">
        <v>292</v>
      </c>
      <c r="C3" s="564">
        <f>'BAŞ SAYFA'!D8</f>
        <v>1331466</v>
      </c>
      <c r="D3" s="566">
        <f>C3+(C2*12)</f>
        <v>1802466</v>
      </c>
      <c r="E3" s="1677" t="s">
        <v>298</v>
      </c>
      <c r="F3" s="1678"/>
      <c r="G3" s="572">
        <f>G2-C1</f>
        <v>1757694</v>
      </c>
      <c r="K3" s="1625" t="s">
        <v>288</v>
      </c>
      <c r="L3" s="1626"/>
      <c r="M3" s="1626"/>
      <c r="N3" s="1627"/>
      <c r="P3" s="1654" t="s">
        <v>303</v>
      </c>
      <c r="Q3" s="1655"/>
    </row>
    <row r="4" spans="2:20" ht="18" customHeight="1" thickBot="1" x14ac:dyDescent="0.3">
      <c r="B4" s="1240" t="s">
        <v>309</v>
      </c>
      <c r="C4" s="1240"/>
      <c r="D4" s="551">
        <f>C3-(5*C1)</f>
        <v>1219536</v>
      </c>
      <c r="E4" s="1641" t="s">
        <v>277</v>
      </c>
      <c r="F4" s="1678"/>
      <c r="G4" s="572">
        <f>G3-C1</f>
        <v>1735308</v>
      </c>
      <c r="H4" s="1679" t="s">
        <v>278</v>
      </c>
      <c r="I4" s="1592"/>
      <c r="J4" s="1593"/>
      <c r="K4" s="1628"/>
      <c r="L4" s="1629"/>
      <c r="M4" s="1629"/>
      <c r="N4" s="1630"/>
      <c r="P4" s="1656">
        <f>('BAŞ SAYFA'!E7*5)+('BAŞ SAYFA'!E8*7)+' tamamlama deney zafer'!C12</f>
        <v>386680</v>
      </c>
      <c r="Q4" s="1657"/>
    </row>
    <row r="5" spans="2:20" ht="29.45" customHeight="1" x14ac:dyDescent="0.25">
      <c r="B5" s="532">
        <v>0.25</v>
      </c>
      <c r="C5" s="535">
        <f>B10/4</f>
        <v>393411.75</v>
      </c>
      <c r="D5" s="472"/>
      <c r="E5" s="1643">
        <v>157861</v>
      </c>
      <c r="F5" s="1672"/>
      <c r="G5" s="572">
        <f>G4-C1</f>
        <v>1712922</v>
      </c>
      <c r="H5" s="567" t="s">
        <v>279</v>
      </c>
      <c r="I5" s="1594">
        <v>0</v>
      </c>
      <c r="J5" s="1595"/>
      <c r="K5" s="538"/>
    </row>
    <row r="6" spans="2:20" ht="21.75" thickBot="1" x14ac:dyDescent="0.35">
      <c r="B6" s="534">
        <v>0.5</v>
      </c>
      <c r="C6" s="535">
        <f>B10/2</f>
        <v>786823.5</v>
      </c>
      <c r="D6" s="533"/>
      <c r="E6" s="1645"/>
      <c r="F6" s="1673"/>
      <c r="G6" s="572">
        <f>G5-C1</f>
        <v>1690536</v>
      </c>
      <c r="H6" s="568" t="s">
        <v>280</v>
      </c>
      <c r="I6" s="1596">
        <v>0</v>
      </c>
      <c r="J6" s="1597"/>
      <c r="K6" s="472"/>
    </row>
    <row r="7" spans="2:20" ht="15.75" thickBot="1" x14ac:dyDescent="0.3">
      <c r="G7" s="572">
        <f>G6-C2</f>
        <v>1651286</v>
      </c>
    </row>
    <row r="8" spans="2:20" ht="48.6" customHeight="1" thickBot="1" x14ac:dyDescent="0.3">
      <c r="B8" s="1621" t="s">
        <v>301</v>
      </c>
      <c r="C8" s="1622"/>
      <c r="E8" s="1639" t="s">
        <v>289</v>
      </c>
      <c r="F8" s="1674"/>
      <c r="G8" s="572">
        <f>G7-C2</f>
        <v>1612036</v>
      </c>
      <c r="K8" s="542"/>
      <c r="L8" s="543"/>
      <c r="M8" s="543"/>
      <c r="N8" s="543"/>
      <c r="O8" s="543"/>
      <c r="P8" s="543"/>
      <c r="Q8" s="543"/>
      <c r="R8" s="543"/>
      <c r="S8" s="543"/>
      <c r="T8" s="544"/>
    </row>
    <row r="9" spans="2:20" ht="30.75" thickBot="1" x14ac:dyDescent="0.3">
      <c r="B9" s="1623"/>
      <c r="C9" s="1624"/>
      <c r="D9" s="558" t="s">
        <v>300</v>
      </c>
      <c r="E9" s="1608" t="s">
        <v>286</v>
      </c>
      <c r="F9" s="1675"/>
      <c r="G9" s="572">
        <f>G8-C2</f>
        <v>1572786</v>
      </c>
      <c r="H9" s="1676" t="s">
        <v>283</v>
      </c>
      <c r="I9" s="1605"/>
      <c r="K9" s="1600" t="s">
        <v>223</v>
      </c>
      <c r="L9" s="1601"/>
      <c r="Q9" s="1667" t="s">
        <v>291</v>
      </c>
      <c r="R9" s="1668"/>
      <c r="S9" s="1668"/>
      <c r="T9" s="1669"/>
    </row>
    <row r="10" spans="2:20" ht="31.15" customHeight="1" thickBot="1" x14ac:dyDescent="0.3">
      <c r="B10" s="1649">
        <f>E10+E5</f>
        <v>1573647</v>
      </c>
      <c r="C10" s="1650"/>
      <c r="D10" s="559">
        <f>I5*4</f>
        <v>0</v>
      </c>
      <c r="E10" s="1610">
        <f>C3+(12*C2)-(5*C1)-(7*C2)</f>
        <v>1415786</v>
      </c>
      <c r="F10" s="1670"/>
      <c r="G10" s="572">
        <f>G9-C2</f>
        <v>1533536</v>
      </c>
      <c r="H10" s="1671" t="s">
        <v>293</v>
      </c>
      <c r="I10" s="1652"/>
      <c r="K10" s="1661">
        <v>100</v>
      </c>
      <c r="L10" s="1662"/>
      <c r="Q10" s="1633">
        <v>2958418</v>
      </c>
      <c r="R10" s="1634"/>
      <c r="S10" s="1616" t="s">
        <v>290</v>
      </c>
      <c r="T10" s="1617"/>
    </row>
    <row r="11" spans="2:20" ht="30.75" thickBot="1" x14ac:dyDescent="0.3">
      <c r="B11" s="552" t="s">
        <v>302</v>
      </c>
      <c r="C11" s="553">
        <f>B10-E10</f>
        <v>157861</v>
      </c>
      <c r="G11" s="572">
        <f>G10-C2</f>
        <v>1494286</v>
      </c>
      <c r="K11" s="1602"/>
      <c r="L11" s="1603"/>
      <c r="Q11" s="1637">
        <f>B10*1.9712</f>
        <v>3101972.9664000003</v>
      </c>
      <c r="R11" s="1638"/>
      <c r="S11" s="1614" t="s">
        <v>310</v>
      </c>
      <c r="T11" s="1615"/>
    </row>
    <row r="12" spans="2:20" ht="43.9" customHeight="1" thickBot="1" x14ac:dyDescent="0.3">
      <c r="B12" s="554" t="s">
        <v>297</v>
      </c>
      <c r="C12" s="553"/>
      <c r="E12" s="1612" t="s">
        <v>299</v>
      </c>
      <c r="F12" s="1658"/>
      <c r="G12" s="572">
        <f>G11-C2</f>
        <v>1455036</v>
      </c>
      <c r="H12" s="569">
        <f>(5*C1)+(7*C2)</f>
        <v>386680</v>
      </c>
      <c r="I12" s="561">
        <f>H12+E5</f>
        <v>544541</v>
      </c>
      <c r="J12" s="562">
        <f>D3-H12</f>
        <v>1415786</v>
      </c>
      <c r="K12" s="547"/>
      <c r="L12" s="547"/>
      <c r="M12" s="547"/>
      <c r="N12" s="547"/>
      <c r="O12" s="547"/>
      <c r="P12" s="547"/>
      <c r="Q12" s="1665">
        <f>Q11-Q10</f>
        <v>143554.96640000027</v>
      </c>
      <c r="R12" s="1666"/>
      <c r="S12" s="1663" t="s">
        <v>311</v>
      </c>
      <c r="T12" s="1664"/>
    </row>
    <row r="13" spans="2:20" ht="67.900000000000006" customHeight="1" thickBot="1" x14ac:dyDescent="0.3">
      <c r="B13" s="555"/>
      <c r="C13" s="556"/>
      <c r="E13" s="1659">
        <f>Q10</f>
        <v>2958418</v>
      </c>
      <c r="F13" s="1660"/>
      <c r="G13" s="573">
        <f>G12-C2</f>
        <v>1415786</v>
      </c>
      <c r="H13" s="570" t="s">
        <v>306</v>
      </c>
      <c r="I13" s="575">
        <f>B10-D4+(5*C2)</f>
        <v>550361</v>
      </c>
      <c r="J13" s="563" t="s">
        <v>307</v>
      </c>
      <c r="L13" s="27"/>
    </row>
    <row r="14" spans="2:20" ht="16.5" thickBot="1" x14ac:dyDescent="0.3">
      <c r="E14" s="574"/>
      <c r="H14" s="192"/>
      <c r="I14" s="575">
        <f>I12-I13</f>
        <v>-5820</v>
      </c>
    </row>
    <row r="17" spans="6:6" x14ac:dyDescent="0.25">
      <c r="F17">
        <f>C12</f>
        <v>0</v>
      </c>
    </row>
  </sheetData>
  <mergeCells count="29">
    <mergeCell ref="E1:F2"/>
    <mergeCell ref="E3:F3"/>
    <mergeCell ref="K3:N4"/>
    <mergeCell ref="P3:Q3"/>
    <mergeCell ref="B4:C4"/>
    <mergeCell ref="E4:F4"/>
    <mergeCell ref="H4:J4"/>
    <mergeCell ref="P4:Q4"/>
    <mergeCell ref="E5:F6"/>
    <mergeCell ref="I5:J5"/>
    <mergeCell ref="I6:J6"/>
    <mergeCell ref="B8:C9"/>
    <mergeCell ref="E8:F8"/>
    <mergeCell ref="E9:F9"/>
    <mergeCell ref="H9:I9"/>
    <mergeCell ref="K9:L9"/>
    <mergeCell ref="Q9:T9"/>
    <mergeCell ref="B10:C10"/>
    <mergeCell ref="E10:F10"/>
    <mergeCell ref="H10:I10"/>
    <mergeCell ref="Q10:R10"/>
    <mergeCell ref="S10:T10"/>
    <mergeCell ref="Q11:R11"/>
    <mergeCell ref="S11:T11"/>
    <mergeCell ref="E12:F12"/>
    <mergeCell ref="E13:F13"/>
    <mergeCell ref="K10:L11"/>
    <mergeCell ref="S12:T12"/>
    <mergeCell ref="Q12:R12"/>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8"/>
  <sheetViews>
    <sheetView zoomScale="68" zoomScaleNormal="68" workbookViewId="0">
      <selection activeCell="K20" sqref="K20"/>
    </sheetView>
  </sheetViews>
  <sheetFormatPr defaultRowHeight="15" x14ac:dyDescent="0.25"/>
  <cols>
    <col min="3" max="3" width="11.28515625" customWidth="1"/>
    <col min="4" max="4" width="13.85546875" customWidth="1"/>
    <col min="5" max="5" width="10.7109375" customWidth="1"/>
    <col min="6" max="6" width="19.85546875" customWidth="1"/>
    <col min="7" max="7" width="15" customWidth="1"/>
    <col min="8" max="8" width="14" customWidth="1"/>
    <col min="9" max="9" width="19.42578125" customWidth="1"/>
  </cols>
  <sheetData>
    <row r="1" spans="2:9" x14ac:dyDescent="0.25">
      <c r="B1" s="1681"/>
      <c r="C1" s="1681"/>
      <c r="D1" s="1681"/>
      <c r="E1" s="1681"/>
      <c r="F1" s="1681"/>
      <c r="G1" s="1681"/>
      <c r="H1" s="1681"/>
      <c r="I1" s="1681"/>
    </row>
    <row r="2" spans="2:9" ht="45" x14ac:dyDescent="0.25">
      <c r="B2" s="628" t="s">
        <v>317</v>
      </c>
      <c r="C2" s="610" t="s">
        <v>97</v>
      </c>
      <c r="D2" s="608" t="s">
        <v>253</v>
      </c>
      <c r="E2" s="609" t="s">
        <v>314</v>
      </c>
      <c r="F2" s="605" t="s">
        <v>322</v>
      </c>
      <c r="G2" s="618" t="s">
        <v>316</v>
      </c>
      <c r="H2" s="611" t="s">
        <v>321</v>
      </c>
      <c r="I2" s="612" t="s">
        <v>318</v>
      </c>
    </row>
    <row r="3" spans="2:9" ht="21" x14ac:dyDescent="0.25">
      <c r="B3" s="1680">
        <v>21</v>
      </c>
      <c r="C3" s="607">
        <v>2007</v>
      </c>
      <c r="D3" s="607">
        <v>54.2</v>
      </c>
      <c r="E3" s="607">
        <v>8.4</v>
      </c>
      <c r="F3" s="619">
        <f>D3/E3</f>
        <v>6.4523809523809526</v>
      </c>
      <c r="G3" s="607">
        <v>1</v>
      </c>
      <c r="H3" s="607">
        <v>4</v>
      </c>
      <c r="I3" s="614" t="s">
        <v>319</v>
      </c>
    </row>
    <row r="4" spans="2:9" ht="21" x14ac:dyDescent="0.25">
      <c r="B4" s="1680"/>
      <c r="C4" s="626">
        <v>2021</v>
      </c>
      <c r="D4" s="626">
        <v>83.5</v>
      </c>
      <c r="E4" s="626">
        <v>36.799999999999997</v>
      </c>
      <c r="F4" s="627">
        <f>D4/E4</f>
        <v>2.269021739130435</v>
      </c>
      <c r="G4" s="626">
        <v>7</v>
      </c>
      <c r="H4" s="626">
        <v>3</v>
      </c>
      <c r="I4" s="632" t="s">
        <v>323</v>
      </c>
    </row>
    <row r="5" spans="2:9" ht="21" x14ac:dyDescent="0.25">
      <c r="B5" s="1680"/>
      <c r="C5" s="620">
        <v>2022</v>
      </c>
      <c r="D5" s="620">
        <v>90.1</v>
      </c>
      <c r="E5" s="620">
        <v>64.27</v>
      </c>
      <c r="F5" s="621">
        <f>D5/E5</f>
        <v>1.4018982417924382</v>
      </c>
      <c r="G5" s="620">
        <v>19</v>
      </c>
      <c r="H5" s="622">
        <v>2</v>
      </c>
      <c r="I5" s="615" t="s">
        <v>323</v>
      </c>
    </row>
    <row r="6" spans="2:9" ht="33.75" x14ac:dyDescent="0.25">
      <c r="B6" s="1680"/>
      <c r="C6" s="633">
        <v>2023</v>
      </c>
      <c r="D6" s="630">
        <v>90.2</v>
      </c>
      <c r="E6" s="623">
        <v>64.77</v>
      </c>
      <c r="F6" s="624">
        <f>D6/E6</f>
        <v>1.3926200401420412</v>
      </c>
      <c r="G6" s="633">
        <v>20</v>
      </c>
      <c r="H6" s="633">
        <v>1</v>
      </c>
      <c r="I6" s="631" t="s">
        <v>320</v>
      </c>
    </row>
    <row r="7" spans="2:9" ht="25.15" customHeight="1" x14ac:dyDescent="0.25"/>
    <row r="8" spans="2:9" ht="45" x14ac:dyDescent="0.25">
      <c r="B8" s="628" t="s">
        <v>317</v>
      </c>
      <c r="C8" s="610" t="s">
        <v>97</v>
      </c>
      <c r="D8" s="608" t="s">
        <v>253</v>
      </c>
      <c r="E8" s="609" t="s">
        <v>314</v>
      </c>
      <c r="F8" s="605" t="s">
        <v>322</v>
      </c>
      <c r="G8" s="618" t="s">
        <v>316</v>
      </c>
      <c r="H8" s="611" t="s">
        <v>321</v>
      </c>
      <c r="I8" s="612" t="s">
        <v>318</v>
      </c>
    </row>
    <row r="9" spans="2:9" ht="21" x14ac:dyDescent="0.25">
      <c r="B9" s="1680">
        <v>21</v>
      </c>
      <c r="C9" s="607">
        <v>2007</v>
      </c>
      <c r="D9" s="607">
        <v>54.2</v>
      </c>
      <c r="E9" s="607">
        <v>8.4</v>
      </c>
      <c r="F9" s="619">
        <f>D9/E9</f>
        <v>6.4523809523809526</v>
      </c>
      <c r="G9" s="607">
        <v>1</v>
      </c>
      <c r="H9" s="607">
        <v>4</v>
      </c>
      <c r="I9" s="614" t="s">
        <v>319</v>
      </c>
    </row>
    <row r="10" spans="2:9" ht="21" x14ac:dyDescent="0.25">
      <c r="B10" s="1680"/>
      <c r="C10" s="626">
        <v>2021</v>
      </c>
      <c r="D10" s="626">
        <v>83.5</v>
      </c>
      <c r="E10" s="626">
        <v>36.799999999999997</v>
      </c>
      <c r="F10" s="627">
        <f>D10/E10</f>
        <v>2.269021739130435</v>
      </c>
      <c r="G10" s="626">
        <v>7</v>
      </c>
      <c r="H10" s="626">
        <v>3</v>
      </c>
      <c r="I10" s="632" t="s">
        <v>323</v>
      </c>
    </row>
    <row r="11" spans="2:9" ht="21" x14ac:dyDescent="0.25">
      <c r="B11" s="1680"/>
      <c r="C11" s="620">
        <v>2022</v>
      </c>
      <c r="D11" s="620">
        <v>90.1</v>
      </c>
      <c r="E11" s="620">
        <v>64.27</v>
      </c>
      <c r="F11" s="621">
        <f>D11/E11</f>
        <v>1.4018982417924382</v>
      </c>
      <c r="G11" s="620">
        <v>19</v>
      </c>
      <c r="H11" s="622">
        <v>1</v>
      </c>
      <c r="I11" s="615" t="s">
        <v>323</v>
      </c>
    </row>
    <row r="12" spans="2:9" ht="31.5" x14ac:dyDescent="0.25">
      <c r="B12" s="1680"/>
      <c r="C12" s="633">
        <v>2023</v>
      </c>
      <c r="D12" s="629">
        <v>90</v>
      </c>
      <c r="E12" s="623">
        <v>64.77</v>
      </c>
      <c r="F12" s="624">
        <f>D12/E12</f>
        <v>1.3895321908290876</v>
      </c>
      <c r="G12" s="633">
        <v>20</v>
      </c>
      <c r="H12" s="633">
        <v>2</v>
      </c>
      <c r="I12" s="595" t="s">
        <v>320</v>
      </c>
    </row>
    <row r="13" spans="2:9" ht="22.15" customHeight="1" x14ac:dyDescent="0.25"/>
    <row r="14" spans="2:9" ht="45" x14ac:dyDescent="0.25">
      <c r="B14" s="628" t="s">
        <v>317</v>
      </c>
      <c r="C14" s="610" t="s">
        <v>97</v>
      </c>
      <c r="D14" s="608" t="s">
        <v>253</v>
      </c>
      <c r="E14" s="609" t="s">
        <v>314</v>
      </c>
      <c r="F14" s="605" t="s">
        <v>322</v>
      </c>
      <c r="G14" s="618" t="s">
        <v>316</v>
      </c>
      <c r="H14" s="611" t="s">
        <v>321</v>
      </c>
      <c r="I14" s="612" t="s">
        <v>318</v>
      </c>
    </row>
    <row r="15" spans="2:9" ht="21" x14ac:dyDescent="0.25">
      <c r="B15" s="1680">
        <v>21</v>
      </c>
      <c r="C15" s="607">
        <v>2007</v>
      </c>
      <c r="D15" s="607">
        <v>54.2</v>
      </c>
      <c r="E15" s="607">
        <v>8.4</v>
      </c>
      <c r="F15" s="619">
        <f>D15/E15</f>
        <v>6.4523809523809526</v>
      </c>
      <c r="G15" s="607">
        <v>1</v>
      </c>
      <c r="H15" s="607">
        <v>4</v>
      </c>
      <c r="I15" s="614" t="s">
        <v>319</v>
      </c>
    </row>
    <row r="16" spans="2:9" ht="21" x14ac:dyDescent="0.25">
      <c r="B16" s="1680"/>
      <c r="C16" s="626">
        <v>2021</v>
      </c>
      <c r="D16" s="626">
        <v>83.5</v>
      </c>
      <c r="E16" s="626">
        <v>36.799999999999997</v>
      </c>
      <c r="F16" s="627">
        <f>D16/E16</f>
        <v>2.269021739130435</v>
      </c>
      <c r="G16" s="626">
        <v>7</v>
      </c>
      <c r="H16" s="626">
        <v>3</v>
      </c>
      <c r="I16" s="632" t="s">
        <v>323</v>
      </c>
    </row>
    <row r="17" spans="2:9" ht="21" x14ac:dyDescent="0.25">
      <c r="B17" s="1680"/>
      <c r="C17" s="620">
        <v>2022</v>
      </c>
      <c r="D17" s="620">
        <v>90.1</v>
      </c>
      <c r="E17" s="620">
        <v>64.27</v>
      </c>
      <c r="F17" s="621">
        <f>D17/E17</f>
        <v>1.4018982417924382</v>
      </c>
      <c r="G17" s="620">
        <v>20</v>
      </c>
      <c r="H17" s="622">
        <v>2</v>
      </c>
      <c r="I17" s="615" t="s">
        <v>323</v>
      </c>
    </row>
    <row r="18" spans="2:9" ht="31.5" x14ac:dyDescent="0.25">
      <c r="B18" s="1680"/>
      <c r="C18" s="633">
        <v>2023</v>
      </c>
      <c r="D18" s="629">
        <v>120</v>
      </c>
      <c r="E18" s="623">
        <v>64.77</v>
      </c>
      <c r="F18" s="624">
        <f>D18/E18</f>
        <v>1.8527095877721169</v>
      </c>
      <c r="G18" s="633">
        <v>18</v>
      </c>
      <c r="H18" s="633">
        <v>1</v>
      </c>
      <c r="I18" s="595" t="s">
        <v>320</v>
      </c>
    </row>
  </sheetData>
  <mergeCells count="4">
    <mergeCell ref="B9:B12"/>
    <mergeCell ref="B15:B18"/>
    <mergeCell ref="B3:B6"/>
    <mergeCell ref="B1:I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32"/>
  <sheetViews>
    <sheetView zoomScale="94" zoomScaleNormal="94" workbookViewId="0">
      <selection activeCell="E14" sqref="E14"/>
    </sheetView>
  </sheetViews>
  <sheetFormatPr defaultRowHeight="15" x14ac:dyDescent="0.25"/>
  <cols>
    <col min="3" max="3" width="35.5703125" customWidth="1"/>
    <col min="4" max="4" width="13.140625" customWidth="1"/>
    <col min="5" max="5" width="15.7109375" customWidth="1"/>
    <col min="8" max="8" width="10" customWidth="1"/>
    <col min="9" max="10" width="10.28515625" customWidth="1"/>
    <col min="12" max="12" width="10.85546875" customWidth="1"/>
    <col min="14" max="14" width="14.140625" customWidth="1"/>
    <col min="15" max="15" width="10.5703125" customWidth="1"/>
    <col min="17" max="17" width="16.28515625" customWidth="1"/>
  </cols>
  <sheetData>
    <row r="2" spans="1:17" x14ac:dyDescent="0.25">
      <c r="N2" s="956" t="s">
        <v>360</v>
      </c>
      <c r="O2" s="916" t="s">
        <v>332</v>
      </c>
      <c r="P2" s="957" t="s">
        <v>253</v>
      </c>
    </row>
    <row r="3" spans="1:17" x14ac:dyDescent="0.25">
      <c r="D3" s="641" t="s">
        <v>324</v>
      </c>
      <c r="E3" s="641" t="s">
        <v>253</v>
      </c>
      <c r="N3" s="956"/>
      <c r="O3" s="916"/>
      <c r="P3" s="957"/>
    </row>
    <row r="4" spans="1:17" ht="18.75" x14ac:dyDescent="0.25">
      <c r="A4">
        <v>105.7</v>
      </c>
      <c r="C4" s="642">
        <v>2021</v>
      </c>
      <c r="D4" s="643">
        <v>105.7</v>
      </c>
      <c r="E4" s="643">
        <v>83.5</v>
      </c>
      <c r="N4" s="648">
        <f>N7/1.901</f>
        <v>102.47238295633878</v>
      </c>
      <c r="O4" s="609">
        <f>N4*1.901</f>
        <v>194.8</v>
      </c>
      <c r="P4" s="647">
        <f>(O4-N4)/N4</f>
        <v>0.90100000000000002</v>
      </c>
    </row>
    <row r="5" spans="1:17" ht="25.9" customHeight="1" x14ac:dyDescent="0.25">
      <c r="A5">
        <v>194.8</v>
      </c>
      <c r="C5" s="595" t="s">
        <v>340</v>
      </c>
      <c r="D5" s="596">
        <v>194.8</v>
      </c>
      <c r="E5" s="694">
        <v>90.1</v>
      </c>
      <c r="N5" s="655" t="s">
        <v>338</v>
      </c>
      <c r="O5" s="656">
        <f>N6*1.901</f>
        <v>191.92496000000003</v>
      </c>
    </row>
    <row r="6" spans="1:17" x14ac:dyDescent="0.25">
      <c r="A6">
        <v>89.1</v>
      </c>
      <c r="C6" s="638" t="s">
        <v>334</v>
      </c>
      <c r="D6" s="639">
        <v>93.84</v>
      </c>
      <c r="N6" s="644">
        <f>N7-N8</f>
        <v>100.96000000000001</v>
      </c>
      <c r="O6" s="937" t="s">
        <v>339</v>
      </c>
      <c r="P6" s="938"/>
      <c r="Q6" s="938"/>
    </row>
    <row r="7" spans="1:17" x14ac:dyDescent="0.25">
      <c r="N7" s="47">
        <v>194.8</v>
      </c>
      <c r="O7" s="1688" t="s">
        <v>331</v>
      </c>
      <c r="P7" s="1688"/>
      <c r="Q7" s="1688"/>
    </row>
    <row r="8" spans="1:17" ht="29.45" customHeight="1" x14ac:dyDescent="0.25">
      <c r="C8" s="635" t="s">
        <v>329</v>
      </c>
      <c r="D8" s="606">
        <f>57.4</f>
        <v>57.4</v>
      </c>
      <c r="E8" s="640">
        <f>D8/E5</f>
        <v>0.63706992230854609</v>
      </c>
      <c r="F8" s="940" t="s">
        <v>325</v>
      </c>
      <c r="G8" s="940"/>
      <c r="H8" s="550">
        <v>0.6371</v>
      </c>
      <c r="N8" s="639">
        <v>93.84</v>
      </c>
      <c r="O8" s="941" t="s">
        <v>330</v>
      </c>
      <c r="P8" s="942"/>
      <c r="Q8" s="943"/>
    </row>
    <row r="9" spans="1:17" ht="29.45" customHeight="1" x14ac:dyDescent="0.25">
      <c r="C9" s="541" t="s">
        <v>333</v>
      </c>
      <c r="D9" s="634">
        <f>D6*D8/100</f>
        <v>53.864159999999998</v>
      </c>
      <c r="I9" s="594" t="s">
        <v>357</v>
      </c>
      <c r="J9" s="636"/>
      <c r="K9" s="636"/>
      <c r="L9" s="636"/>
      <c r="M9" s="636"/>
      <c r="N9" s="625">
        <f>O4-O5</f>
        <v>2.8750399999999843</v>
      </c>
      <c r="O9" s="1692" t="s">
        <v>336</v>
      </c>
      <c r="P9" s="1693"/>
      <c r="Q9" s="1694"/>
    </row>
    <row r="10" spans="1:17" ht="29.45" customHeight="1" x14ac:dyDescent="0.25">
      <c r="C10" s="635" t="s">
        <v>377</v>
      </c>
      <c r="D10" s="606">
        <f>100-D8</f>
        <v>42.6</v>
      </c>
      <c r="E10" s="640">
        <f>1-E8</f>
        <v>0.36293007769145391</v>
      </c>
      <c r="F10" s="940" t="s">
        <v>326</v>
      </c>
      <c r="G10" s="940"/>
      <c r="H10" s="550">
        <v>0.3629</v>
      </c>
      <c r="I10" s="645"/>
      <c r="J10" s="645"/>
      <c r="K10" s="636"/>
      <c r="N10" s="654">
        <f>N9/O5</f>
        <v>1.4980021358347469E-2</v>
      </c>
      <c r="O10" s="947" t="s">
        <v>337</v>
      </c>
      <c r="P10" s="947"/>
      <c r="Q10" s="947"/>
    </row>
    <row r="11" spans="1:17" ht="29.45" customHeight="1" thickBot="1" x14ac:dyDescent="0.3">
      <c r="A11" s="646"/>
      <c r="C11" s="541" t="s">
        <v>359</v>
      </c>
      <c r="D11" s="634">
        <f>(D6*D10)/100</f>
        <v>39.975840000000005</v>
      </c>
      <c r="G11" s="645"/>
      <c r="I11" s="680" t="s">
        <v>358</v>
      </c>
      <c r="J11" s="645"/>
    </row>
    <row r="12" spans="1:17" ht="29.45" customHeight="1" thickBot="1" x14ac:dyDescent="0.3">
      <c r="A12" s="646"/>
      <c r="G12" s="645"/>
      <c r="I12" s="645"/>
      <c r="J12" s="645"/>
      <c r="K12" s="1695" t="s">
        <v>356</v>
      </c>
      <c r="L12" s="1695"/>
      <c r="M12" s="671" t="s">
        <v>352</v>
      </c>
      <c r="N12" s="670">
        <v>0.76690000000000003</v>
      </c>
      <c r="O12" s="1687" t="s">
        <v>351</v>
      </c>
      <c r="P12" s="1687"/>
      <c r="Q12" s="669">
        <v>1.3011999999999999</v>
      </c>
    </row>
    <row r="13" spans="1:17" ht="12.6" customHeight="1" thickBot="1" x14ac:dyDescent="0.3">
      <c r="A13" s="646"/>
      <c r="G13" s="645"/>
      <c r="I13" s="645"/>
      <c r="J13" s="645"/>
      <c r="K13" s="636"/>
    </row>
    <row r="14" spans="1:17" ht="43.15" customHeight="1" thickBot="1" x14ac:dyDescent="0.3">
      <c r="K14" s="557" t="s">
        <v>353</v>
      </c>
      <c r="L14" s="674" t="s">
        <v>348</v>
      </c>
      <c r="M14" s="912" t="s">
        <v>355</v>
      </c>
      <c r="N14" s="912"/>
      <c r="O14" s="663" t="s">
        <v>344</v>
      </c>
      <c r="P14" s="663" t="s">
        <v>345</v>
      </c>
      <c r="Q14" s="662" t="s">
        <v>253</v>
      </c>
    </row>
    <row r="15" spans="1:17" ht="18" customHeight="1" x14ac:dyDescent="0.25">
      <c r="F15" s="930" t="s">
        <v>343</v>
      </c>
      <c r="G15" s="931"/>
      <c r="K15" s="675">
        <f>D16</f>
        <v>124.10122086570479</v>
      </c>
      <c r="L15" s="672" t="s">
        <v>342</v>
      </c>
      <c r="M15" s="1682">
        <f>D16*N17</f>
        <v>101.76300110987792</v>
      </c>
      <c r="N15" s="1682"/>
      <c r="O15" s="634">
        <f>D16+M15</f>
        <v>225.86422197558272</v>
      </c>
      <c r="P15" s="1682">
        <f>O15+O16</f>
        <v>392.00635294117649</v>
      </c>
      <c r="Q15" s="1685">
        <f>(P15-E16)/E16</f>
        <v>1.0123529411764705</v>
      </c>
    </row>
    <row r="16" spans="1:17" ht="36.6" customHeight="1" thickBot="1" x14ac:dyDescent="0.3">
      <c r="A16" s="926" t="s">
        <v>366</v>
      </c>
      <c r="B16" s="689">
        <f>D16/E16</f>
        <v>0.63706992230854609</v>
      </c>
      <c r="C16" s="683" t="s">
        <v>375</v>
      </c>
      <c r="D16" s="596">
        <f>D5*E8</f>
        <v>124.10122086570479</v>
      </c>
      <c r="E16" s="933">
        <f>D16+D17</f>
        <v>194.8</v>
      </c>
      <c r="F16" s="659"/>
      <c r="G16" s="660" t="s">
        <v>342</v>
      </c>
      <c r="K16" s="676">
        <f>D17</f>
        <v>70.698779134295222</v>
      </c>
      <c r="L16" s="673" t="s">
        <v>341</v>
      </c>
      <c r="M16" s="1683">
        <f>D17*Q17</f>
        <v>95.443351831298557</v>
      </c>
      <c r="N16" s="1683"/>
      <c r="O16" s="666">
        <f>D17+M16</f>
        <v>166.14213096559376</v>
      </c>
      <c r="P16" s="1684"/>
      <c r="Q16" s="1691"/>
    </row>
    <row r="17" spans="1:18" ht="42.6" customHeight="1" thickBot="1" x14ac:dyDescent="0.3">
      <c r="A17" s="927"/>
      <c r="B17" s="689">
        <f>D17/E16</f>
        <v>0.36293007769145391</v>
      </c>
      <c r="C17" s="683" t="s">
        <v>376</v>
      </c>
      <c r="D17" s="596">
        <f>D5*E10</f>
        <v>70.698779134295222</v>
      </c>
      <c r="E17" s="933"/>
      <c r="F17" s="659"/>
      <c r="G17" s="659" t="s">
        <v>341</v>
      </c>
      <c r="L17" s="668" t="s">
        <v>346</v>
      </c>
      <c r="M17" s="671" t="s">
        <v>352</v>
      </c>
      <c r="N17" s="670">
        <v>0.82</v>
      </c>
      <c r="O17" s="1687" t="s">
        <v>351</v>
      </c>
      <c r="P17" s="1687"/>
      <c r="Q17" s="669">
        <v>1.35</v>
      </c>
    </row>
    <row r="18" spans="1:18" ht="18" customHeight="1" thickBot="1" x14ac:dyDescent="0.3">
      <c r="A18" s="646"/>
      <c r="B18" s="646"/>
      <c r="C18" s="646"/>
      <c r="D18" s="646"/>
      <c r="E18" s="646"/>
      <c r="F18" s="646"/>
      <c r="G18" s="646"/>
      <c r="L18" s="550"/>
      <c r="R18" s="645"/>
    </row>
    <row r="19" spans="1:18" ht="31.9" customHeight="1" x14ac:dyDescent="0.25">
      <c r="H19" s="906" t="s">
        <v>373</v>
      </c>
      <c r="I19" s="907"/>
      <c r="K19" s="557" t="s">
        <v>353</v>
      </c>
      <c r="L19" s="664" t="s">
        <v>349</v>
      </c>
      <c r="M19" s="912" t="s">
        <v>347</v>
      </c>
      <c r="N19" s="912"/>
      <c r="O19" s="663" t="s">
        <v>344</v>
      </c>
      <c r="P19" s="663" t="s">
        <v>345</v>
      </c>
      <c r="Q19" s="662" t="s">
        <v>253</v>
      </c>
    </row>
    <row r="20" spans="1:18" ht="39.6" customHeight="1" x14ac:dyDescent="0.25">
      <c r="A20" s="926" t="s">
        <v>366</v>
      </c>
      <c r="B20" s="689">
        <f>D20/E20</f>
        <v>0.69569196578550696</v>
      </c>
      <c r="C20" s="682" t="s">
        <v>365</v>
      </c>
      <c r="D20" s="681">
        <f>D16-D9</f>
        <v>70.237060865704791</v>
      </c>
      <c r="E20" s="929">
        <f>D20+D21</f>
        <v>100.96000000000001</v>
      </c>
      <c r="F20" s="1689" t="s">
        <v>327</v>
      </c>
      <c r="G20" s="1690"/>
      <c r="H20" s="692">
        <f>D9/D20</f>
        <v>0.76689085984092875</v>
      </c>
      <c r="I20" s="657" t="s">
        <v>342</v>
      </c>
      <c r="K20" s="675">
        <f>D16</f>
        <v>124.10122086570479</v>
      </c>
      <c r="L20" s="661" t="s">
        <v>342</v>
      </c>
      <c r="M20" s="1682">
        <f>D16*N22</f>
        <v>124.10122086570479</v>
      </c>
      <c r="N20" s="1682"/>
      <c r="O20" s="634">
        <f>D16+M20</f>
        <v>248.20244173140958</v>
      </c>
      <c r="P20" s="1682">
        <f>O20+O21</f>
        <v>467.36865704772481</v>
      </c>
      <c r="Q20" s="1685">
        <f>(P20-E16)/E16</f>
        <v>1.3992230854605996</v>
      </c>
    </row>
    <row r="21" spans="1:18" ht="31.15" customHeight="1" thickBot="1" x14ac:dyDescent="0.3">
      <c r="A21" s="927"/>
      <c r="B21" s="689">
        <f>D21/E20</f>
        <v>0.30430803421449304</v>
      </c>
      <c r="C21" s="684" t="s">
        <v>364</v>
      </c>
      <c r="D21" s="681">
        <f>D17-D11</f>
        <v>30.722939134295217</v>
      </c>
      <c r="E21" s="929"/>
      <c r="F21" s="1689" t="s">
        <v>328</v>
      </c>
      <c r="G21" s="1690"/>
      <c r="H21" s="693">
        <f>D11/D21</f>
        <v>1.3011723854042343</v>
      </c>
      <c r="I21" s="658" t="s">
        <v>341</v>
      </c>
      <c r="K21" s="676">
        <f>D17</f>
        <v>70.698779134295222</v>
      </c>
      <c r="L21" s="665" t="s">
        <v>341</v>
      </c>
      <c r="M21" s="1682">
        <f>D17*Q22</f>
        <v>148.46743618201998</v>
      </c>
      <c r="N21" s="1682"/>
      <c r="O21" s="634">
        <f>D17+M21</f>
        <v>219.1662153163152</v>
      </c>
      <c r="P21" s="947"/>
      <c r="Q21" s="1685"/>
    </row>
    <row r="22" spans="1:18" ht="21.6" customHeight="1" thickBot="1" x14ac:dyDescent="0.3">
      <c r="D22" s="550"/>
      <c r="E22" s="550"/>
      <c r="H22" s="922">
        <v>0.90100000000000002</v>
      </c>
      <c r="I22" s="924" t="s">
        <v>374</v>
      </c>
      <c r="L22" s="667" t="s">
        <v>346</v>
      </c>
      <c r="M22" s="671" t="s">
        <v>352</v>
      </c>
      <c r="N22" s="670">
        <v>1</v>
      </c>
      <c r="O22" s="1686" t="s">
        <v>351</v>
      </c>
      <c r="P22" s="1687"/>
      <c r="Q22" s="669">
        <v>2.1</v>
      </c>
    </row>
    <row r="23" spans="1:18" ht="15" customHeight="1" thickBot="1" x14ac:dyDescent="0.3">
      <c r="A23" s="916" t="s">
        <v>370</v>
      </c>
      <c r="B23" s="916"/>
      <c r="C23" s="652" t="s">
        <v>335</v>
      </c>
      <c r="D23" s="653">
        <v>48.713000000000001</v>
      </c>
      <c r="H23" s="923"/>
      <c r="I23" s="925"/>
      <c r="J23" s="637"/>
      <c r="L23" s="550"/>
    </row>
    <row r="24" spans="1:18" ht="31.15" customHeight="1" x14ac:dyDescent="0.25">
      <c r="A24" s="916"/>
      <c r="B24" s="916"/>
      <c r="C24" s="690" t="s">
        <v>367</v>
      </c>
      <c r="D24" s="651">
        <v>41.21</v>
      </c>
      <c r="I24" s="549"/>
      <c r="J24" s="549"/>
      <c r="K24" s="557" t="s">
        <v>353</v>
      </c>
      <c r="L24" s="677" t="s">
        <v>354</v>
      </c>
      <c r="M24" s="912" t="s">
        <v>347</v>
      </c>
      <c r="N24" s="912"/>
      <c r="O24" s="663" t="s">
        <v>344</v>
      </c>
      <c r="P24" s="663" t="s">
        <v>345</v>
      </c>
      <c r="Q24" s="662" t="s">
        <v>253</v>
      </c>
    </row>
    <row r="25" spans="1:18" ht="28.15" customHeight="1" x14ac:dyDescent="0.25">
      <c r="A25" s="916"/>
      <c r="B25" s="916"/>
      <c r="C25" s="690" t="s">
        <v>368</v>
      </c>
      <c r="D25" s="651">
        <v>7.4690000000000003</v>
      </c>
      <c r="K25" s="675">
        <f>D16</f>
        <v>124.10122086570479</v>
      </c>
      <c r="L25" s="661" t="s">
        <v>342</v>
      </c>
      <c r="M25" s="1682">
        <f>D16*N27</f>
        <v>148.92146503884575</v>
      </c>
      <c r="N25" s="1682"/>
      <c r="O25" s="634">
        <f>D16+M25</f>
        <v>273.02268590455054</v>
      </c>
      <c r="P25" s="1682">
        <f>O25+O26</f>
        <v>506.32865704772473</v>
      </c>
      <c r="Q25" s="1685">
        <f>(P25-E16)/E16</f>
        <v>1.5992230854605991</v>
      </c>
    </row>
    <row r="26" spans="1:18" ht="20.45" customHeight="1" thickBot="1" x14ac:dyDescent="0.3">
      <c r="C26" s="649" t="s">
        <v>369</v>
      </c>
      <c r="D26" s="650">
        <f>E20/(1+(E4/100))</f>
        <v>55.019073569482295</v>
      </c>
      <c r="E26" s="687">
        <f>D26+D23</f>
        <v>103.7320735694823</v>
      </c>
      <c r="F26" s="919" t="s">
        <v>372</v>
      </c>
      <c r="G26" s="919"/>
      <c r="H26" s="919"/>
      <c r="K26" s="676">
        <f>D17</f>
        <v>70.698779134295222</v>
      </c>
      <c r="L26" s="665" t="s">
        <v>341</v>
      </c>
      <c r="M26" s="1682">
        <f>D17*Q27</f>
        <v>162.607192008879</v>
      </c>
      <c r="N26" s="1682"/>
      <c r="O26" s="634">
        <f>D17+M26</f>
        <v>233.30597114317422</v>
      </c>
      <c r="P26" s="947"/>
      <c r="Q26" s="1685"/>
    </row>
    <row r="27" spans="1:18" ht="45" customHeight="1" thickBot="1" x14ac:dyDescent="0.3">
      <c r="C27" s="684" t="s">
        <v>361</v>
      </c>
      <c r="D27" s="685">
        <f>D26*1.835</f>
        <v>100.96000000000001</v>
      </c>
      <c r="E27" s="686">
        <f>E26-D27</f>
        <v>2.7720735694822878</v>
      </c>
      <c r="F27" s="913" t="s">
        <v>362</v>
      </c>
      <c r="G27" s="913"/>
      <c r="H27" s="913"/>
      <c r="L27" s="667" t="s">
        <v>346</v>
      </c>
      <c r="M27" s="671" t="s">
        <v>342</v>
      </c>
      <c r="N27" s="670">
        <v>1.2</v>
      </c>
      <c r="O27" s="1686" t="s">
        <v>351</v>
      </c>
      <c r="P27" s="1687"/>
      <c r="Q27" s="669">
        <v>2.2999999999999998</v>
      </c>
    </row>
    <row r="28" spans="1:18" ht="15.75" thickBot="1" x14ac:dyDescent="0.3">
      <c r="C28" s="691" t="s">
        <v>371</v>
      </c>
      <c r="D28" s="653">
        <f>D26*0.835</f>
        <v>45.940926430517713</v>
      </c>
      <c r="E28" s="636"/>
    </row>
    <row r="29" spans="1:18" ht="34.15" customHeight="1" x14ac:dyDescent="0.25">
      <c r="C29" s="539" t="s">
        <v>363</v>
      </c>
      <c r="D29" s="686">
        <f>D23-D28</f>
        <v>2.7720735694822878</v>
      </c>
      <c r="E29" s="688">
        <f>E27/E26</f>
        <v>2.6723398791652274E-2</v>
      </c>
      <c r="F29" s="914" t="s">
        <v>337</v>
      </c>
      <c r="G29" s="914"/>
      <c r="H29" s="914"/>
      <c r="K29" s="557" t="s">
        <v>353</v>
      </c>
      <c r="L29" s="678" t="s">
        <v>350</v>
      </c>
      <c r="M29" s="912" t="s">
        <v>347</v>
      </c>
      <c r="N29" s="912"/>
      <c r="O29" s="663" t="s">
        <v>344</v>
      </c>
      <c r="P29" s="663" t="s">
        <v>345</v>
      </c>
      <c r="Q29" s="662" t="s">
        <v>253</v>
      </c>
    </row>
    <row r="30" spans="1:18" ht="19.149999999999999" customHeight="1" x14ac:dyDescent="0.25">
      <c r="K30" s="675">
        <f>D16</f>
        <v>124.10122086570479</v>
      </c>
      <c r="L30" s="661" t="s">
        <v>342</v>
      </c>
      <c r="M30" s="1682">
        <f>D16*N32</f>
        <v>186.15183129855717</v>
      </c>
      <c r="N30" s="1682"/>
      <c r="O30" s="634">
        <f>D16+M30</f>
        <v>310.25305216426193</v>
      </c>
      <c r="P30" s="1682">
        <f>O30+O31</f>
        <v>575.37347391786898</v>
      </c>
      <c r="Q30" s="1685">
        <f>(P30-E16)/E16</f>
        <v>1.9536625971143169</v>
      </c>
    </row>
    <row r="31" spans="1:18" ht="19.149999999999999" customHeight="1" thickBot="1" x14ac:dyDescent="0.3">
      <c r="D31" s="636"/>
      <c r="K31" s="676">
        <f>D17</f>
        <v>70.698779134295222</v>
      </c>
      <c r="L31" s="665" t="s">
        <v>341</v>
      </c>
      <c r="M31" s="1682">
        <f>D17*Q32</f>
        <v>194.42164261931185</v>
      </c>
      <c r="N31" s="1682"/>
      <c r="O31" s="634">
        <f>D17+M31</f>
        <v>265.12042175360705</v>
      </c>
      <c r="P31" s="947"/>
      <c r="Q31" s="1685"/>
    </row>
    <row r="32" spans="1:18" ht="20.45" customHeight="1" thickBot="1" x14ac:dyDescent="0.3">
      <c r="L32" s="667" t="s">
        <v>346</v>
      </c>
      <c r="M32" s="671" t="s">
        <v>342</v>
      </c>
      <c r="N32" s="670">
        <v>1.5</v>
      </c>
      <c r="O32" s="1686" t="s">
        <v>351</v>
      </c>
      <c r="P32" s="1687"/>
      <c r="Q32" s="669">
        <v>2.75</v>
      </c>
    </row>
  </sheetData>
  <mergeCells count="50">
    <mergeCell ref="P2:P3"/>
    <mergeCell ref="A20:A21"/>
    <mergeCell ref="A23:B25"/>
    <mergeCell ref="I22:I23"/>
    <mergeCell ref="H22:H23"/>
    <mergeCell ref="A16:A17"/>
    <mergeCell ref="E20:E21"/>
    <mergeCell ref="E16:E17"/>
    <mergeCell ref="F15:G15"/>
    <mergeCell ref="N2:N3"/>
    <mergeCell ref="O2:O3"/>
    <mergeCell ref="O22:P22"/>
    <mergeCell ref="O17:P17"/>
    <mergeCell ref="H19:I19"/>
    <mergeCell ref="K12:L12"/>
    <mergeCell ref="O12:P12"/>
    <mergeCell ref="F29:H29"/>
    <mergeCell ref="O10:Q10"/>
    <mergeCell ref="F8:G8"/>
    <mergeCell ref="F10:G10"/>
    <mergeCell ref="O6:Q6"/>
    <mergeCell ref="O7:Q7"/>
    <mergeCell ref="O8:Q8"/>
    <mergeCell ref="F20:G20"/>
    <mergeCell ref="F21:G21"/>
    <mergeCell ref="Q15:Q16"/>
    <mergeCell ref="M19:N19"/>
    <mergeCell ref="O9:Q9"/>
    <mergeCell ref="F27:H27"/>
    <mergeCell ref="F26:H26"/>
    <mergeCell ref="Q20:Q21"/>
    <mergeCell ref="M21:N21"/>
    <mergeCell ref="Q30:Q31"/>
    <mergeCell ref="M31:N31"/>
    <mergeCell ref="O32:P32"/>
    <mergeCell ref="M24:N24"/>
    <mergeCell ref="M25:N25"/>
    <mergeCell ref="P25:P26"/>
    <mergeCell ref="Q25:Q26"/>
    <mergeCell ref="M26:N26"/>
    <mergeCell ref="O27:P27"/>
    <mergeCell ref="M29:N29"/>
    <mergeCell ref="M30:N30"/>
    <mergeCell ref="P30:P31"/>
    <mergeCell ref="M20:N20"/>
    <mergeCell ref="P20:P21"/>
    <mergeCell ref="M14:N14"/>
    <mergeCell ref="M15:N15"/>
    <mergeCell ref="M16:N16"/>
    <mergeCell ref="P15:P1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37"/>
  <sheetViews>
    <sheetView topLeftCell="B14" zoomScale="70" zoomScaleNormal="70" workbookViewId="0">
      <selection activeCell="D17" sqref="D17"/>
    </sheetView>
  </sheetViews>
  <sheetFormatPr defaultRowHeight="15" x14ac:dyDescent="0.25"/>
  <cols>
    <col min="3" max="3" width="35.5703125" customWidth="1"/>
    <col min="4" max="4" width="13.140625" customWidth="1"/>
    <col min="5" max="5" width="15.7109375" customWidth="1"/>
    <col min="8" max="8" width="10" customWidth="1"/>
    <col min="9" max="10" width="10.28515625" customWidth="1"/>
    <col min="12" max="12" width="12.28515625" customWidth="1"/>
    <col min="13" max="13" width="10.7109375" customWidth="1"/>
    <col min="14" max="14" width="14.140625" customWidth="1"/>
    <col min="15" max="15" width="12.7109375" customWidth="1"/>
    <col min="16" max="16" width="9.85546875" customWidth="1"/>
    <col min="17" max="17" width="16.28515625" customWidth="1"/>
  </cols>
  <sheetData>
    <row r="2" spans="1:20" ht="14.45" customHeight="1" x14ac:dyDescent="0.25">
      <c r="D2" s="641" t="s">
        <v>324</v>
      </c>
      <c r="E2" s="641" t="s">
        <v>253</v>
      </c>
      <c r="H2" s="952" t="s">
        <v>380</v>
      </c>
      <c r="I2" s="953"/>
      <c r="J2" s="952" t="s">
        <v>385</v>
      </c>
      <c r="K2" s="953"/>
      <c r="L2" s="952" t="s">
        <v>386</v>
      </c>
      <c r="M2" s="953"/>
      <c r="N2" s="956" t="s">
        <v>360</v>
      </c>
      <c r="O2" s="916" t="s">
        <v>387</v>
      </c>
      <c r="P2" s="957" t="s">
        <v>179</v>
      </c>
      <c r="Q2" s="916" t="s">
        <v>399</v>
      </c>
    </row>
    <row r="3" spans="1:20" ht="18.75" x14ac:dyDescent="0.25">
      <c r="C3" s="696" t="s">
        <v>383</v>
      </c>
      <c r="D3" s="697">
        <v>59.2</v>
      </c>
      <c r="E3" s="697">
        <v>27.2</v>
      </c>
      <c r="H3" s="954"/>
      <c r="I3" s="955"/>
      <c r="J3" s="954"/>
      <c r="K3" s="955"/>
      <c r="L3" s="954"/>
      <c r="M3" s="955"/>
      <c r="N3" s="956"/>
      <c r="O3" s="916"/>
      <c r="P3" s="957"/>
      <c r="Q3" s="916"/>
    </row>
    <row r="4" spans="1:20" ht="18.75" x14ac:dyDescent="0.25">
      <c r="C4" s="695" t="s">
        <v>382</v>
      </c>
      <c r="D4" s="643">
        <v>105.7</v>
      </c>
      <c r="E4" s="643">
        <v>83.5</v>
      </c>
      <c r="H4" s="919">
        <f>L4/1.835</f>
        <v>57.602179836512263</v>
      </c>
      <c r="I4" s="949"/>
      <c r="J4" s="919">
        <v>59.2</v>
      </c>
      <c r="K4" s="949"/>
      <c r="L4" s="919">
        <f>D4</f>
        <v>105.7</v>
      </c>
      <c r="M4" s="949"/>
      <c r="N4" s="648">
        <f>O4/1.901</f>
        <v>102.47238295633878</v>
      </c>
      <c r="O4" s="648">
        <f>D5</f>
        <v>194.8</v>
      </c>
      <c r="P4" s="647">
        <f>(O4-N4)/N4</f>
        <v>0.90100000000000002</v>
      </c>
      <c r="Q4" s="648">
        <f>O4*0.97</f>
        <v>188.95600000000002</v>
      </c>
    </row>
    <row r="5" spans="1:20" ht="25.9" customHeight="1" x14ac:dyDescent="0.25">
      <c r="C5" s="595" t="s">
        <v>340</v>
      </c>
      <c r="D5" s="596">
        <v>194.8</v>
      </c>
      <c r="E5" s="694">
        <v>90.1</v>
      </c>
      <c r="J5">
        <f>H4/J4</f>
        <v>0.97300979453568004</v>
      </c>
      <c r="L5">
        <f>N4/L4</f>
        <v>0.96946436098712174</v>
      </c>
      <c r="N5" s="655" t="s">
        <v>338</v>
      </c>
      <c r="O5" s="656">
        <f>N6*1.901</f>
        <v>0</v>
      </c>
    </row>
    <row r="6" spans="1:20" x14ac:dyDescent="0.25">
      <c r="C6" s="638" t="s">
        <v>393</v>
      </c>
      <c r="D6" s="639">
        <f>O4-N4</f>
        <v>92.327617043661235</v>
      </c>
      <c r="L6" s="636"/>
      <c r="N6" s="644"/>
      <c r="O6" s="937" t="s">
        <v>339</v>
      </c>
      <c r="P6" s="938"/>
      <c r="Q6" s="938"/>
    </row>
    <row r="7" spans="1:20" x14ac:dyDescent="0.25">
      <c r="K7" s="636"/>
      <c r="L7" s="636"/>
      <c r="N7" s="47">
        <v>194.8</v>
      </c>
      <c r="O7" s="939" t="s">
        <v>381</v>
      </c>
      <c r="P7" s="939"/>
      <c r="Q7" s="939"/>
    </row>
    <row r="8" spans="1:20" ht="29.45" customHeight="1" x14ac:dyDescent="0.25">
      <c r="C8" s="635" t="s">
        <v>329</v>
      </c>
      <c r="D8" s="606">
        <f>57.4</f>
        <v>57.4</v>
      </c>
      <c r="E8" s="640">
        <f>D8/E5</f>
        <v>0.63706992230854609</v>
      </c>
      <c r="F8" s="940" t="s">
        <v>325</v>
      </c>
      <c r="G8" s="940"/>
      <c r="H8" s="550"/>
      <c r="L8" s="636"/>
      <c r="N8" s="639">
        <v>93.84</v>
      </c>
      <c r="O8" s="941" t="s">
        <v>330</v>
      </c>
      <c r="P8" s="942"/>
      <c r="Q8" s="943"/>
    </row>
    <row r="9" spans="1:20" ht="29.45" customHeight="1" x14ac:dyDescent="0.25">
      <c r="C9" s="541" t="s">
        <v>333</v>
      </c>
      <c r="D9" s="634">
        <f>D6*D8/100</f>
        <v>52.996052183061551</v>
      </c>
      <c r="I9" s="645"/>
      <c r="J9" s="636"/>
      <c r="K9" s="636"/>
      <c r="L9" s="636"/>
      <c r="M9" s="636"/>
      <c r="N9" s="625">
        <f>O4-O5</f>
        <v>194.8</v>
      </c>
      <c r="O9" s="1692" t="s">
        <v>336</v>
      </c>
      <c r="P9" s="1693"/>
      <c r="Q9" s="1694"/>
    </row>
    <row r="10" spans="1:20" ht="29.45" customHeight="1" x14ac:dyDescent="0.25">
      <c r="C10" s="635" t="s">
        <v>377</v>
      </c>
      <c r="D10" s="606">
        <f>100-D8</f>
        <v>42.6</v>
      </c>
      <c r="E10" s="640">
        <f>1-E8</f>
        <v>0.36293007769145391</v>
      </c>
      <c r="F10" s="940" t="s">
        <v>326</v>
      </c>
      <c r="G10" s="940"/>
      <c r="H10" s="550"/>
      <c r="I10" s="645"/>
      <c r="J10" s="645"/>
      <c r="K10" s="636"/>
      <c r="N10" s="654" t="e">
        <f>N9/O5</f>
        <v>#DIV/0!</v>
      </c>
      <c r="O10" s="947" t="s">
        <v>337</v>
      </c>
      <c r="P10" s="947"/>
      <c r="Q10" s="947"/>
    </row>
    <row r="11" spans="1:20" ht="29.45" customHeight="1" thickBot="1" x14ac:dyDescent="0.3">
      <c r="A11" s="646"/>
      <c r="C11" s="541" t="s">
        <v>359</v>
      </c>
      <c r="D11" s="634">
        <f>(D6*D10)/100</f>
        <v>39.331564860599684</v>
      </c>
      <c r="G11" s="645"/>
      <c r="I11" s="645"/>
      <c r="J11" s="645"/>
    </row>
    <row r="12" spans="1:20" ht="29.45" customHeight="1" thickBot="1" x14ac:dyDescent="0.3">
      <c r="A12" s="646"/>
      <c r="D12" s="636"/>
      <c r="G12" s="645"/>
      <c r="I12" s="645"/>
      <c r="J12" s="645"/>
      <c r="K12" s="1695" t="s">
        <v>356</v>
      </c>
      <c r="L12" s="1695"/>
      <c r="M12" s="716" t="s">
        <v>352</v>
      </c>
      <c r="N12" s="712">
        <f>H20</f>
        <v>0.67927155730695121</v>
      </c>
      <c r="O12" s="904" t="s">
        <v>402</v>
      </c>
      <c r="P12" s="904"/>
      <c r="Q12" s="717">
        <f>H21</f>
        <v>1.6084269811739929</v>
      </c>
    </row>
    <row r="13" spans="1:20" ht="12.6" customHeight="1" thickBot="1" x14ac:dyDescent="0.3">
      <c r="A13" s="646"/>
      <c r="D13" s="636"/>
      <c r="E13" s="636"/>
      <c r="G13" s="645"/>
      <c r="I13" s="645"/>
      <c r="J13" s="645"/>
      <c r="K13" s="636"/>
    </row>
    <row r="14" spans="1:20" ht="43.15" customHeight="1" thickBot="1" x14ac:dyDescent="0.3">
      <c r="K14" s="558" t="s">
        <v>353</v>
      </c>
      <c r="L14" s="674" t="s">
        <v>348</v>
      </c>
      <c r="M14" s="1696" t="s">
        <v>355</v>
      </c>
      <c r="N14" s="1696"/>
      <c r="O14" s="663" t="s">
        <v>344</v>
      </c>
      <c r="P14" s="663" t="s">
        <v>345</v>
      </c>
      <c r="Q14" s="718" t="s">
        <v>253</v>
      </c>
    </row>
    <row r="15" spans="1:20" ht="18" customHeight="1" x14ac:dyDescent="0.25">
      <c r="D15" s="597">
        <f>D16*0.97</f>
        <v>127.08455000000001</v>
      </c>
      <c r="F15" s="930" t="s">
        <v>343</v>
      </c>
      <c r="G15" s="931"/>
      <c r="K15" s="706">
        <f>D16</f>
        <v>131.01500000000001</v>
      </c>
      <c r="L15" s="704" t="s">
        <v>342</v>
      </c>
      <c r="M15" s="900">
        <f>D16*N17</f>
        <v>99.571400000000011</v>
      </c>
      <c r="N15" s="900"/>
      <c r="O15" s="703">
        <f>D16+M15</f>
        <v>230.58640000000003</v>
      </c>
      <c r="P15" s="900">
        <f>O15+O16</f>
        <v>405.99515000000002</v>
      </c>
      <c r="Q15" s="1697">
        <f>(P15-Q4)/Q4</f>
        <v>1.1486226952306355</v>
      </c>
    </row>
    <row r="16" spans="1:20" ht="36.6" customHeight="1" thickBot="1" x14ac:dyDescent="0.3">
      <c r="A16" s="926" t="s">
        <v>366</v>
      </c>
      <c r="B16" s="689">
        <f>D16/E16</f>
        <v>0.6725616016427105</v>
      </c>
      <c r="C16" s="683" t="s">
        <v>375</v>
      </c>
      <c r="D16" s="596">
        <f>E16-D17</f>
        <v>131.01500000000001</v>
      </c>
      <c r="E16" s="933">
        <f>O4</f>
        <v>194.8</v>
      </c>
      <c r="F16" s="659"/>
      <c r="G16" s="660" t="s">
        <v>342</v>
      </c>
      <c r="K16" s="707">
        <f>D17</f>
        <v>63.784999999999997</v>
      </c>
      <c r="L16" s="709" t="s">
        <v>341</v>
      </c>
      <c r="M16" s="903">
        <f>D17*Q17</f>
        <v>111.62375</v>
      </c>
      <c r="N16" s="903"/>
      <c r="O16" s="705">
        <f>D17+M16</f>
        <v>175.40875</v>
      </c>
      <c r="P16" s="901"/>
      <c r="Q16" s="1698"/>
      <c r="T16" s="636"/>
    </row>
    <row r="17" spans="1:20" ht="42.6" customHeight="1" thickBot="1" x14ac:dyDescent="0.3">
      <c r="A17" s="927"/>
      <c r="B17" s="689">
        <f>D17/E16</f>
        <v>0.3274383983572895</v>
      </c>
      <c r="C17" s="683" t="s">
        <v>376</v>
      </c>
      <c r="D17" s="596">
        <f>28.4+34.888+0.497</f>
        <v>63.784999999999997</v>
      </c>
      <c r="E17" s="933"/>
      <c r="F17" s="659"/>
      <c r="G17" s="659" t="s">
        <v>341</v>
      </c>
      <c r="L17" s="668" t="s">
        <v>346</v>
      </c>
      <c r="M17" s="711" t="s">
        <v>352</v>
      </c>
      <c r="N17" s="713">
        <v>0.76</v>
      </c>
      <c r="O17" s="904" t="s">
        <v>402</v>
      </c>
      <c r="P17" s="904"/>
      <c r="Q17" s="715">
        <v>1.75</v>
      </c>
      <c r="T17" s="636"/>
    </row>
    <row r="18" spans="1:20" ht="18" customHeight="1" thickBot="1" x14ac:dyDescent="0.3">
      <c r="A18" s="646"/>
      <c r="B18" s="646"/>
      <c r="C18" s="646"/>
      <c r="D18" s="597">
        <f>D17*0.97</f>
        <v>61.871449999999996</v>
      </c>
      <c r="E18" s="646"/>
      <c r="F18" s="646"/>
      <c r="G18" s="646"/>
      <c r="L18" s="550"/>
      <c r="R18" s="645"/>
    </row>
    <row r="19" spans="1:20" ht="31.9" customHeight="1" x14ac:dyDescent="0.25">
      <c r="E19" s="636"/>
      <c r="F19" s="636"/>
      <c r="H19" s="906" t="s">
        <v>373</v>
      </c>
      <c r="I19" s="907"/>
      <c r="K19" s="558" t="s">
        <v>353</v>
      </c>
      <c r="L19" s="678" t="s">
        <v>396</v>
      </c>
      <c r="M19" s="912" t="s">
        <v>347</v>
      </c>
      <c r="N19" s="912"/>
      <c r="O19" s="663" t="s">
        <v>344</v>
      </c>
      <c r="P19" s="663" t="s">
        <v>345</v>
      </c>
      <c r="Q19" s="719" t="s">
        <v>253</v>
      </c>
    </row>
    <row r="20" spans="1:20" ht="39.6" customHeight="1" x14ac:dyDescent="0.25">
      <c r="A20" s="926" t="s">
        <v>366</v>
      </c>
      <c r="B20" s="689">
        <f>D20/E20</f>
        <v>0.76136560472279269</v>
      </c>
      <c r="C20" s="682" t="s">
        <v>365</v>
      </c>
      <c r="D20" s="681">
        <f>D16-D9</f>
        <v>78.018947816938464</v>
      </c>
      <c r="E20" s="928">
        <f>N4</f>
        <v>102.47238295633878</v>
      </c>
      <c r="F20" s="1699" t="s">
        <v>400</v>
      </c>
      <c r="G20" s="1700"/>
      <c r="H20" s="692">
        <f>D9/D20</f>
        <v>0.67927155730695121</v>
      </c>
      <c r="I20" s="657" t="s">
        <v>342</v>
      </c>
      <c r="K20" s="706">
        <f>D16</f>
        <v>131.01500000000001</v>
      </c>
      <c r="L20" s="708" t="s">
        <v>342</v>
      </c>
      <c r="M20" s="900">
        <f>D16*N22</f>
        <v>107.43230000000001</v>
      </c>
      <c r="N20" s="900"/>
      <c r="O20" s="703">
        <f>D16+M20</f>
        <v>238.44730000000004</v>
      </c>
      <c r="P20" s="900">
        <f>O20+O21</f>
        <v>432.99155000000002</v>
      </c>
      <c r="Q20" s="1701">
        <f>(P20-Q4)/Q4</f>
        <v>1.2914940515252227</v>
      </c>
    </row>
    <row r="21" spans="1:20" ht="31.15" customHeight="1" thickBot="1" x14ac:dyDescent="0.3">
      <c r="A21" s="927"/>
      <c r="B21" s="689">
        <f>D21/E20</f>
        <v>0.23863439527720734</v>
      </c>
      <c r="C21" s="684" t="s">
        <v>364</v>
      </c>
      <c r="D21" s="681">
        <f>D17-D11</f>
        <v>24.453435139400312</v>
      </c>
      <c r="E21" s="929"/>
      <c r="F21" s="1699" t="s">
        <v>401</v>
      </c>
      <c r="G21" s="1700"/>
      <c r="H21" s="693">
        <f>D11/D21</f>
        <v>1.6084269811739929</v>
      </c>
      <c r="I21" s="658" t="s">
        <v>341</v>
      </c>
      <c r="K21" s="707">
        <f>D17</f>
        <v>63.784999999999997</v>
      </c>
      <c r="L21" s="710" t="s">
        <v>341</v>
      </c>
      <c r="M21" s="900">
        <f>D17*Q22</f>
        <v>130.75924999999998</v>
      </c>
      <c r="N21" s="900"/>
      <c r="O21" s="703">
        <f>D17+M21</f>
        <v>194.54424999999998</v>
      </c>
      <c r="P21" s="915"/>
      <c r="Q21" s="1701"/>
    </row>
    <row r="22" spans="1:20" ht="21.6" customHeight="1" thickBot="1" x14ac:dyDescent="0.3">
      <c r="D22" s="550"/>
      <c r="E22" s="550"/>
      <c r="F22" s="636"/>
      <c r="H22" s="922">
        <v>0.90100000000000002</v>
      </c>
      <c r="I22" s="924" t="s">
        <v>374</v>
      </c>
      <c r="L22" s="667" t="s">
        <v>346</v>
      </c>
      <c r="M22" s="711" t="s">
        <v>352</v>
      </c>
      <c r="N22" s="712">
        <v>0.82</v>
      </c>
      <c r="O22" s="1702" t="s">
        <v>402</v>
      </c>
      <c r="P22" s="904"/>
      <c r="Q22" s="722">
        <v>2.0499999999999998</v>
      </c>
    </row>
    <row r="23" spans="1:20" ht="15" customHeight="1" thickBot="1" x14ac:dyDescent="0.3">
      <c r="A23" s="916" t="s">
        <v>379</v>
      </c>
      <c r="B23" s="916"/>
      <c r="C23" s="652" t="s">
        <v>335</v>
      </c>
      <c r="D23" s="720">
        <v>48.713000000000001</v>
      </c>
      <c r="H23" s="923"/>
      <c r="I23" s="925"/>
      <c r="J23" s="637"/>
      <c r="L23" s="550"/>
    </row>
    <row r="24" spans="1:20" ht="31.15" customHeight="1" x14ac:dyDescent="0.25">
      <c r="A24" s="916"/>
      <c r="B24" s="916"/>
      <c r="C24" s="690" t="s">
        <v>388</v>
      </c>
      <c r="D24" s="651">
        <v>41.2102</v>
      </c>
      <c r="E24" s="636"/>
      <c r="I24" s="549"/>
      <c r="J24" s="549"/>
      <c r="K24" s="558" t="s">
        <v>353</v>
      </c>
      <c r="L24" s="702" t="s">
        <v>397</v>
      </c>
      <c r="M24" s="912" t="s">
        <v>347</v>
      </c>
      <c r="N24" s="912"/>
      <c r="O24" s="663" t="s">
        <v>344</v>
      </c>
      <c r="P24" s="663" t="s">
        <v>345</v>
      </c>
      <c r="Q24" s="719" t="s">
        <v>253</v>
      </c>
    </row>
    <row r="25" spans="1:20" ht="28.15" customHeight="1" x14ac:dyDescent="0.25">
      <c r="A25" s="916"/>
      <c r="B25" s="916"/>
      <c r="C25" s="690" t="s">
        <v>389</v>
      </c>
      <c r="D25" s="651">
        <f>4.0965+3.3733</f>
        <v>7.4697999999999993</v>
      </c>
      <c r="E25" s="636"/>
      <c r="K25" s="706">
        <f>D16</f>
        <v>131.01500000000001</v>
      </c>
      <c r="L25" s="708" t="s">
        <v>342</v>
      </c>
      <c r="M25" s="900">
        <f>D16*N27</f>
        <v>131.01500000000001</v>
      </c>
      <c r="N25" s="900"/>
      <c r="O25" s="703">
        <f>D16+M25</f>
        <v>262.03000000000003</v>
      </c>
      <c r="P25" s="900">
        <f>O25+O26</f>
        <v>482.08825000000002</v>
      </c>
      <c r="Q25" s="1701">
        <f>(P25-Q4)/Q4</f>
        <v>1.5513254408433708</v>
      </c>
    </row>
    <row r="26" spans="1:20" ht="20.45" customHeight="1" thickBot="1" x14ac:dyDescent="0.3">
      <c r="C26" s="649" t="s">
        <v>378</v>
      </c>
      <c r="D26" s="650">
        <f>H4</f>
        <v>57.602179836512263</v>
      </c>
      <c r="E26" s="687">
        <f>D26+D28</f>
        <v>105.7</v>
      </c>
      <c r="F26" s="919" t="s">
        <v>390</v>
      </c>
      <c r="G26" s="919"/>
      <c r="H26" s="919"/>
      <c r="K26" s="707">
        <f>D17</f>
        <v>63.784999999999997</v>
      </c>
      <c r="L26" s="710" t="s">
        <v>341</v>
      </c>
      <c r="M26" s="900">
        <f>D17*Q27</f>
        <v>156.27324999999999</v>
      </c>
      <c r="N26" s="900"/>
      <c r="O26" s="703">
        <f>D17+M26</f>
        <v>220.05824999999999</v>
      </c>
      <c r="P26" s="915"/>
      <c r="Q26" s="1701"/>
    </row>
    <row r="27" spans="1:20" ht="45" customHeight="1" thickBot="1" x14ac:dyDescent="0.3">
      <c r="C27" s="684" t="s">
        <v>384</v>
      </c>
      <c r="D27" s="685">
        <f>D26*1.835</f>
        <v>105.7</v>
      </c>
      <c r="E27" s="686">
        <f>E26-D27</f>
        <v>0</v>
      </c>
      <c r="F27" s="913" t="s">
        <v>362</v>
      </c>
      <c r="G27" s="913"/>
      <c r="H27" s="913"/>
      <c r="L27" s="667" t="s">
        <v>346</v>
      </c>
      <c r="M27" s="716" t="s">
        <v>342</v>
      </c>
      <c r="N27" s="712">
        <v>1</v>
      </c>
      <c r="O27" s="1704" t="s">
        <v>402</v>
      </c>
      <c r="P27" s="1705"/>
      <c r="Q27" s="714">
        <v>2.4500000000000002</v>
      </c>
    </row>
    <row r="28" spans="1:20" ht="15.75" thickBot="1" x14ac:dyDescent="0.3">
      <c r="C28" s="691" t="s">
        <v>371</v>
      </c>
      <c r="D28" s="653">
        <f>D26*0.835</f>
        <v>48.097820163487739</v>
      </c>
      <c r="E28" s="636"/>
    </row>
    <row r="29" spans="1:20" ht="34.15" customHeight="1" x14ac:dyDescent="0.25">
      <c r="C29" s="539" t="s">
        <v>363</v>
      </c>
      <c r="D29" s="686">
        <f>D23-D28</f>
        <v>0.6151798365122616</v>
      </c>
      <c r="E29" s="688">
        <f>E27/E26</f>
        <v>0</v>
      </c>
      <c r="F29" s="914" t="s">
        <v>337</v>
      </c>
      <c r="G29" s="914"/>
      <c r="H29" s="914"/>
      <c r="K29" s="558" t="s">
        <v>353</v>
      </c>
      <c r="L29" s="678" t="s">
        <v>398</v>
      </c>
      <c r="M29" s="912" t="s">
        <v>347</v>
      </c>
      <c r="N29" s="912"/>
      <c r="O29" s="663" t="s">
        <v>344</v>
      </c>
      <c r="P29" s="663" t="s">
        <v>345</v>
      </c>
      <c r="Q29" s="719" t="s">
        <v>253</v>
      </c>
    </row>
    <row r="30" spans="1:20" ht="19.149999999999999" customHeight="1" thickBot="1" x14ac:dyDescent="0.3">
      <c r="K30" s="706">
        <f>D16</f>
        <v>131.01500000000001</v>
      </c>
      <c r="L30" s="708" t="s">
        <v>342</v>
      </c>
      <c r="M30" s="900">
        <f>D16*N32</f>
        <v>157.21800000000002</v>
      </c>
      <c r="N30" s="900"/>
      <c r="O30" s="703">
        <f>D16+M30</f>
        <v>288.23300000000006</v>
      </c>
      <c r="P30" s="900">
        <f>O30+O31</f>
        <v>543.37300000000005</v>
      </c>
      <c r="Q30" s="1701">
        <f>(P30-Q4)/Q4</f>
        <v>1.8756588835496095</v>
      </c>
    </row>
    <row r="31" spans="1:20" ht="29.45" customHeight="1" thickBot="1" x14ac:dyDescent="0.3">
      <c r="C31" s="635" t="s">
        <v>329</v>
      </c>
      <c r="D31" s="699">
        <f>57.4</f>
        <v>57.4</v>
      </c>
      <c r="E31" s="906" t="s">
        <v>373</v>
      </c>
      <c r="F31" s="907"/>
      <c r="K31" s="707">
        <f>D17</f>
        <v>63.784999999999997</v>
      </c>
      <c r="L31" s="710" t="s">
        <v>341</v>
      </c>
      <c r="M31" s="900">
        <f>D17*Q32</f>
        <v>191.35499999999999</v>
      </c>
      <c r="N31" s="900"/>
      <c r="O31" s="703">
        <f>D17+M31</f>
        <v>255.14</v>
      </c>
      <c r="P31" s="915"/>
      <c r="Q31" s="1701"/>
    </row>
    <row r="32" spans="1:20" ht="20.45" customHeight="1" thickBot="1" x14ac:dyDescent="0.3">
      <c r="C32" s="541" t="s">
        <v>333</v>
      </c>
      <c r="D32" s="700">
        <f>D9</f>
        <v>52.996052183061551</v>
      </c>
      <c r="E32" s="908">
        <f>H20</f>
        <v>0.67927155730695121</v>
      </c>
      <c r="F32" s="909"/>
      <c r="L32" s="667" t="s">
        <v>346</v>
      </c>
      <c r="M32" s="716" t="s">
        <v>342</v>
      </c>
      <c r="N32" s="712">
        <v>1.2</v>
      </c>
      <c r="O32" s="1702" t="s">
        <v>402</v>
      </c>
      <c r="P32" s="904"/>
      <c r="Q32" s="714">
        <v>3</v>
      </c>
    </row>
    <row r="33" spans="3:17" ht="30.75" thickBot="1" x14ac:dyDescent="0.3">
      <c r="C33" s="635" t="s">
        <v>377</v>
      </c>
      <c r="D33" s="606">
        <f>100-D31</f>
        <v>42.6</v>
      </c>
    </row>
    <row r="34" spans="3:17" ht="30.75" thickBot="1" x14ac:dyDescent="0.3">
      <c r="C34" s="698" t="s">
        <v>359</v>
      </c>
      <c r="D34" s="701">
        <f>D11</f>
        <v>39.331564860599684</v>
      </c>
      <c r="E34" s="910">
        <f>H21</f>
        <v>1.6084269811739929</v>
      </c>
      <c r="F34" s="911"/>
      <c r="K34" s="558" t="s">
        <v>353</v>
      </c>
      <c r="L34" s="723" t="s">
        <v>394</v>
      </c>
      <c r="M34" s="1703" t="s">
        <v>395</v>
      </c>
      <c r="N34" s="1703"/>
      <c r="O34" s="663" t="s">
        <v>344</v>
      </c>
      <c r="P34" s="663" t="s">
        <v>345</v>
      </c>
      <c r="Q34" s="719" t="s">
        <v>253</v>
      </c>
    </row>
    <row r="35" spans="3:17" ht="24.6" customHeight="1" x14ac:dyDescent="0.25">
      <c r="D35" s="636"/>
      <c r="K35" s="706">
        <f>D16</f>
        <v>131.01500000000001</v>
      </c>
      <c r="L35" s="704" t="s">
        <v>342</v>
      </c>
      <c r="M35" s="900">
        <f>D16*N37</f>
        <v>88.994763080570223</v>
      </c>
      <c r="N35" s="900"/>
      <c r="O35" s="703">
        <f>D16+M35</f>
        <v>220.00976308057022</v>
      </c>
      <c r="P35" s="900">
        <f>O35+O36</f>
        <v>386.38827807475332</v>
      </c>
      <c r="Q35" s="1697">
        <f>(P35-Q4)/Q4</f>
        <v>1.0448584753844985</v>
      </c>
    </row>
    <row r="36" spans="3:17" ht="23.45" customHeight="1" thickBot="1" x14ac:dyDescent="0.3">
      <c r="K36" s="707">
        <f>D17</f>
        <v>63.784999999999997</v>
      </c>
      <c r="L36" s="709" t="s">
        <v>341</v>
      </c>
      <c r="M36" s="903">
        <f>D17*Q37</f>
        <v>102.59351499418312</v>
      </c>
      <c r="N36" s="903"/>
      <c r="O36" s="705">
        <f>D17+M36</f>
        <v>166.37851499418312</v>
      </c>
      <c r="P36" s="901"/>
      <c r="Q36" s="1697"/>
    </row>
    <row r="37" spans="3:17" ht="19.5" thickBot="1" x14ac:dyDescent="0.3">
      <c r="L37" s="668" t="s">
        <v>346</v>
      </c>
      <c r="M37" s="716" t="s">
        <v>352</v>
      </c>
      <c r="N37" s="712">
        <f>N12</f>
        <v>0.67927155730695121</v>
      </c>
      <c r="O37" s="904" t="s">
        <v>402</v>
      </c>
      <c r="P37" s="904"/>
      <c r="Q37" s="717">
        <f>Q12</f>
        <v>1.6084269811739929</v>
      </c>
    </row>
  </sheetData>
  <mergeCells count="66">
    <mergeCell ref="M35:N35"/>
    <mergeCell ref="P35:P36"/>
    <mergeCell ref="Q35:Q36"/>
    <mergeCell ref="M36:N36"/>
    <mergeCell ref="O37:P37"/>
    <mergeCell ref="Q30:Q31"/>
    <mergeCell ref="E31:F31"/>
    <mergeCell ref="M31:N31"/>
    <mergeCell ref="E32:F32"/>
    <mergeCell ref="O32:P32"/>
    <mergeCell ref="E34:F34"/>
    <mergeCell ref="M34:N34"/>
    <mergeCell ref="F27:H27"/>
    <mergeCell ref="O27:P27"/>
    <mergeCell ref="F29:H29"/>
    <mergeCell ref="M29:N29"/>
    <mergeCell ref="M30:N30"/>
    <mergeCell ref="P30:P31"/>
    <mergeCell ref="A23:B25"/>
    <mergeCell ref="M24:N24"/>
    <mergeCell ref="M25:N25"/>
    <mergeCell ref="P25:P26"/>
    <mergeCell ref="Q25:Q26"/>
    <mergeCell ref="F26:H26"/>
    <mergeCell ref="M26:N26"/>
    <mergeCell ref="P20:P21"/>
    <mergeCell ref="Q20:Q21"/>
    <mergeCell ref="F21:G21"/>
    <mergeCell ref="M21:N21"/>
    <mergeCell ref="H22:H23"/>
    <mergeCell ref="I22:I23"/>
    <mergeCell ref="O22:P22"/>
    <mergeCell ref="H19:I19"/>
    <mergeCell ref="M19:N19"/>
    <mergeCell ref="A20:A21"/>
    <mergeCell ref="E20:E21"/>
    <mergeCell ref="F20:G20"/>
    <mergeCell ref="M20:N20"/>
    <mergeCell ref="A16:A17"/>
    <mergeCell ref="E16:E17"/>
    <mergeCell ref="M16:N16"/>
    <mergeCell ref="O17:P17"/>
    <mergeCell ref="F8:G8"/>
    <mergeCell ref="O8:Q8"/>
    <mergeCell ref="O9:Q9"/>
    <mergeCell ref="F10:G10"/>
    <mergeCell ref="O10:Q10"/>
    <mergeCell ref="K12:L12"/>
    <mergeCell ref="O12:P12"/>
    <mergeCell ref="M14:N14"/>
    <mergeCell ref="F15:G15"/>
    <mergeCell ref="M15:N15"/>
    <mergeCell ref="P15:P16"/>
    <mergeCell ref="Q15:Q16"/>
    <mergeCell ref="O7:Q7"/>
    <mergeCell ref="H2:I3"/>
    <mergeCell ref="J2:K3"/>
    <mergeCell ref="L2:M3"/>
    <mergeCell ref="N2:N3"/>
    <mergeCell ref="O2:O3"/>
    <mergeCell ref="P2:P3"/>
    <mergeCell ref="Q2:Q3"/>
    <mergeCell ref="H4:I4"/>
    <mergeCell ref="J4:K4"/>
    <mergeCell ref="L4:M4"/>
    <mergeCell ref="O6:Q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38"/>
  <sheetViews>
    <sheetView zoomScale="70" zoomScaleNormal="70" workbookViewId="0">
      <selection activeCell="H13" sqref="H13"/>
    </sheetView>
  </sheetViews>
  <sheetFormatPr defaultRowHeight="15" x14ac:dyDescent="0.25"/>
  <cols>
    <col min="2" max="2" width="10.7109375" customWidth="1"/>
    <col min="3" max="3" width="35.5703125" customWidth="1"/>
    <col min="4" max="4" width="16.7109375" customWidth="1"/>
    <col min="5" max="5" width="15.7109375" customWidth="1"/>
    <col min="8" max="8" width="10" customWidth="1"/>
    <col min="9" max="9" width="13.5703125" customWidth="1"/>
    <col min="10" max="10" width="10.28515625" customWidth="1"/>
    <col min="12" max="12" width="13.85546875" customWidth="1"/>
    <col min="13" max="13" width="13.5703125" customWidth="1"/>
    <col min="14" max="14" width="14.140625" customWidth="1"/>
    <col min="15" max="15" width="12.7109375" customWidth="1"/>
    <col min="17" max="17" width="19.7109375" customWidth="1"/>
  </cols>
  <sheetData>
    <row r="2" spans="1:18" ht="14.45" customHeight="1" x14ac:dyDescent="0.25">
      <c r="D2" s="641" t="s">
        <v>324</v>
      </c>
      <c r="E2" s="641" t="s">
        <v>253</v>
      </c>
      <c r="H2" s="952" t="s">
        <v>380</v>
      </c>
      <c r="I2" s="953"/>
      <c r="J2" s="952" t="s">
        <v>385</v>
      </c>
      <c r="K2" s="953"/>
      <c r="L2" s="952" t="s">
        <v>386</v>
      </c>
      <c r="M2" s="953"/>
      <c r="N2" s="956" t="s">
        <v>360</v>
      </c>
      <c r="O2" s="916" t="s">
        <v>387</v>
      </c>
      <c r="P2" s="957" t="s">
        <v>179</v>
      </c>
      <c r="Q2" s="916" t="s">
        <v>399</v>
      </c>
    </row>
    <row r="3" spans="1:18" ht="18.75" x14ac:dyDescent="0.25">
      <c r="C3" s="696" t="s">
        <v>383</v>
      </c>
      <c r="D3" s="697">
        <v>59.2</v>
      </c>
      <c r="E3" s="697">
        <v>27.2</v>
      </c>
      <c r="H3" s="954"/>
      <c r="I3" s="955"/>
      <c r="J3" s="954"/>
      <c r="K3" s="955"/>
      <c r="L3" s="954"/>
      <c r="M3" s="955"/>
      <c r="N3" s="956"/>
      <c r="O3" s="916"/>
      <c r="P3" s="957"/>
      <c r="Q3" s="916"/>
    </row>
    <row r="4" spans="1:18" ht="18.75" x14ac:dyDescent="0.25">
      <c r="C4" s="695" t="s">
        <v>382</v>
      </c>
      <c r="D4" s="643">
        <v>105.7</v>
      </c>
      <c r="E4" s="643">
        <v>83.5</v>
      </c>
      <c r="H4" s="919">
        <f>L4/1.835</f>
        <v>57.602179836512263</v>
      </c>
      <c r="I4" s="949"/>
      <c r="J4" s="919">
        <f>D3</f>
        <v>59.2</v>
      </c>
      <c r="K4" s="949"/>
      <c r="L4" s="919">
        <f>D4</f>
        <v>105.7</v>
      </c>
      <c r="M4" s="949"/>
      <c r="N4" s="648">
        <f>O4/1.901</f>
        <v>102.47238295633878</v>
      </c>
      <c r="O4" s="648">
        <f>D5</f>
        <v>194.8</v>
      </c>
      <c r="P4" s="647">
        <f>(O4-N4)/N4</f>
        <v>0.90100000000000002</v>
      </c>
      <c r="Q4" s="648">
        <f>O4*0.97</f>
        <v>188.95600000000002</v>
      </c>
    </row>
    <row r="5" spans="1:18" ht="25.9" customHeight="1" x14ac:dyDescent="0.25">
      <c r="C5" s="595" t="s">
        <v>340</v>
      </c>
      <c r="D5" s="596">
        <v>194.8</v>
      </c>
      <c r="E5" s="694">
        <v>90.1</v>
      </c>
      <c r="H5" s="550">
        <f>H4*1.835</f>
        <v>105.7</v>
      </c>
      <c r="J5" s="950">
        <f>H4/J4</f>
        <v>0.97300979453568004</v>
      </c>
      <c r="K5" s="951" t="s">
        <v>410</v>
      </c>
      <c r="L5" s="950">
        <f>N4/L4</f>
        <v>0.96946436098712174</v>
      </c>
      <c r="N5" s="655" t="s">
        <v>411</v>
      </c>
      <c r="O5" s="733">
        <f>N4*E5/100</f>
        <v>92.327617043661235</v>
      </c>
    </row>
    <row r="6" spans="1:18" x14ac:dyDescent="0.25">
      <c r="A6" s="935" t="s">
        <v>408</v>
      </c>
      <c r="B6" s="936"/>
      <c r="C6" s="638" t="s">
        <v>393</v>
      </c>
      <c r="D6" s="639">
        <f>O4-N4</f>
        <v>92.327617043661235</v>
      </c>
      <c r="E6" s="645">
        <f>D6/N4</f>
        <v>0.90100000000000002</v>
      </c>
      <c r="J6" s="950"/>
      <c r="K6" s="951"/>
      <c r="L6" s="950"/>
      <c r="N6" s="644"/>
      <c r="O6" s="937" t="s">
        <v>339</v>
      </c>
      <c r="P6" s="938"/>
      <c r="Q6" s="938"/>
    </row>
    <row r="7" spans="1:18" x14ac:dyDescent="0.25">
      <c r="K7" s="636"/>
      <c r="L7" s="636"/>
      <c r="N7" s="47">
        <v>194.8</v>
      </c>
      <c r="O7" s="939" t="s">
        <v>381</v>
      </c>
      <c r="P7" s="939"/>
      <c r="Q7" s="939"/>
      <c r="R7" s="636"/>
    </row>
    <row r="8" spans="1:18" ht="29.45" customHeight="1" x14ac:dyDescent="0.25">
      <c r="C8" s="635" t="s">
        <v>329</v>
      </c>
      <c r="D8" s="606">
        <f>57.4</f>
        <v>57.4</v>
      </c>
      <c r="E8" s="640">
        <f>D8/E5</f>
        <v>0.63706992230854609</v>
      </c>
      <c r="F8" s="940" t="s">
        <v>325</v>
      </c>
      <c r="G8" s="940"/>
      <c r="H8" s="550"/>
      <c r="L8" s="636"/>
      <c r="N8" s="639">
        <v>93.84</v>
      </c>
      <c r="O8" s="941" t="s">
        <v>330</v>
      </c>
      <c r="P8" s="942"/>
      <c r="Q8" s="943"/>
      <c r="R8" s="636"/>
    </row>
    <row r="9" spans="1:18" ht="29.45" customHeight="1" thickBot="1" x14ac:dyDescent="0.3">
      <c r="C9" s="541" t="s">
        <v>333</v>
      </c>
      <c r="D9" s="634">
        <f>D6*D8/100</f>
        <v>52.996052183061551</v>
      </c>
      <c r="I9" s="645"/>
      <c r="J9" s="636"/>
      <c r="K9" s="636"/>
      <c r="L9" s="636"/>
      <c r="M9" s="636"/>
      <c r="N9" s="625">
        <f>N7-N8</f>
        <v>100.96000000000001</v>
      </c>
      <c r="O9" s="944" t="s">
        <v>412</v>
      </c>
      <c r="P9" s="945"/>
      <c r="Q9" s="946"/>
    </row>
    <row r="10" spans="1:18" ht="29.45" customHeight="1" thickBot="1" x14ac:dyDescent="0.3">
      <c r="C10" s="635" t="s">
        <v>377</v>
      </c>
      <c r="D10" s="606">
        <f>100-D8</f>
        <v>42.6</v>
      </c>
      <c r="E10" s="640">
        <f>1-E8</f>
        <v>0.36293007769145391</v>
      </c>
      <c r="F10" s="940" t="s">
        <v>326</v>
      </c>
      <c r="G10" s="940"/>
      <c r="H10" s="550"/>
      <c r="I10" s="645"/>
      <c r="J10" s="645"/>
      <c r="K10" s="636"/>
      <c r="L10" s="739" t="s">
        <v>415</v>
      </c>
      <c r="M10" s="738">
        <f>N8-D6</f>
        <v>1.5123829563387687</v>
      </c>
      <c r="N10" s="736">
        <f>N4-N9</f>
        <v>1.5123829563387687</v>
      </c>
      <c r="O10" s="947" t="s">
        <v>413</v>
      </c>
      <c r="P10" s="947"/>
      <c r="Q10" s="947"/>
      <c r="R10" s="636"/>
    </row>
    <row r="11" spans="1:18" ht="29.45" customHeight="1" x14ac:dyDescent="0.25">
      <c r="A11" s="646"/>
      <c r="C11" s="541" t="s">
        <v>359</v>
      </c>
      <c r="D11" s="634">
        <f>(D6*D10)/100</f>
        <v>39.331564860599684</v>
      </c>
      <c r="E11" s="597" t="s">
        <v>409</v>
      </c>
      <c r="G11" s="645"/>
      <c r="I11" s="645"/>
      <c r="J11" s="645"/>
      <c r="M11" s="737">
        <f>N10/L4</f>
        <v>1.4308258811152021E-2</v>
      </c>
      <c r="N11" s="654">
        <f>N10/N4</f>
        <v>1.4758932238193015E-2</v>
      </c>
      <c r="O11" s="947" t="s">
        <v>414</v>
      </c>
      <c r="P11" s="947"/>
      <c r="Q11" s="947"/>
    </row>
    <row r="12" spans="1:18" ht="29.45" customHeight="1" thickBot="1" x14ac:dyDescent="0.3">
      <c r="A12" s="646"/>
      <c r="C12" s="597"/>
      <c r="D12" s="597"/>
      <c r="E12" s="597"/>
      <c r="G12" s="645"/>
      <c r="I12" s="645"/>
      <c r="J12" s="645"/>
    </row>
    <row r="13" spans="1:18" ht="29.45" customHeight="1" thickBot="1" x14ac:dyDescent="0.3">
      <c r="A13" s="646"/>
      <c r="E13" s="636"/>
      <c r="G13" s="645"/>
      <c r="I13" s="645"/>
      <c r="J13" s="645"/>
      <c r="K13" s="948" t="s">
        <v>356</v>
      </c>
      <c r="L13" s="948"/>
      <c r="M13" s="679" t="s">
        <v>403</v>
      </c>
      <c r="N13" s="725">
        <f>H21</f>
        <v>0.74531926672720039</v>
      </c>
      <c r="O13" s="904" t="s">
        <v>404</v>
      </c>
      <c r="P13" s="904"/>
      <c r="Q13" s="727">
        <f>H22</f>
        <v>1.2539068505545623</v>
      </c>
    </row>
    <row r="14" spans="1:18" ht="12.6" customHeight="1" thickBot="1" x14ac:dyDescent="0.3">
      <c r="A14" s="646"/>
      <c r="D14" s="636"/>
      <c r="E14" s="636"/>
      <c r="G14" s="645"/>
      <c r="I14" s="645"/>
      <c r="J14" s="645"/>
      <c r="K14" s="636"/>
    </row>
    <row r="15" spans="1:18" ht="43.15" customHeight="1" thickBot="1" x14ac:dyDescent="0.3">
      <c r="K15" s="558" t="s">
        <v>353</v>
      </c>
      <c r="L15" s="730" t="s">
        <v>348</v>
      </c>
      <c r="M15" s="934" t="s">
        <v>407</v>
      </c>
      <c r="N15" s="934"/>
      <c r="O15" s="721" t="s">
        <v>344</v>
      </c>
      <c r="P15" s="663" t="s">
        <v>345</v>
      </c>
      <c r="Q15" s="731" t="s">
        <v>253</v>
      </c>
    </row>
    <row r="16" spans="1:18" ht="18" customHeight="1" x14ac:dyDescent="0.25">
      <c r="F16" s="930" t="s">
        <v>343</v>
      </c>
      <c r="G16" s="931"/>
      <c r="K16" s="706">
        <f>D17</f>
        <v>124.10122086570479</v>
      </c>
      <c r="L16" s="704" t="s">
        <v>342</v>
      </c>
      <c r="M16" s="900">
        <f>D17*N18</f>
        <v>101.76300110987792</v>
      </c>
      <c r="N16" s="900"/>
      <c r="O16" s="703">
        <f>D17+M16</f>
        <v>225.86422197558272</v>
      </c>
      <c r="P16" s="900">
        <f>O16+O17</f>
        <v>392.00635294117649</v>
      </c>
      <c r="Q16" s="902">
        <f>(P16-Q4)/Q4</f>
        <v>1.0745906610066707</v>
      </c>
    </row>
    <row r="17" spans="1:18" ht="36.6" customHeight="1" thickBot="1" x14ac:dyDescent="0.3">
      <c r="A17" s="926" t="s">
        <v>366</v>
      </c>
      <c r="B17" s="689">
        <f>D17/E17</f>
        <v>0.63706992230854609</v>
      </c>
      <c r="C17" s="683" t="s">
        <v>375</v>
      </c>
      <c r="D17" s="596">
        <f>E17*E8</f>
        <v>124.10122086570479</v>
      </c>
      <c r="E17" s="933">
        <f>O4</f>
        <v>194.8</v>
      </c>
      <c r="F17" s="659"/>
      <c r="G17" s="660" t="s">
        <v>342</v>
      </c>
      <c r="K17" s="707">
        <f>D18</f>
        <v>70.698779134295222</v>
      </c>
      <c r="L17" s="732" t="s">
        <v>404</v>
      </c>
      <c r="M17" s="903">
        <f>D18*Q18</f>
        <v>95.443351831298557</v>
      </c>
      <c r="N17" s="903"/>
      <c r="O17" s="705">
        <f>D18+M17</f>
        <v>166.14213096559376</v>
      </c>
      <c r="P17" s="901"/>
      <c r="Q17" s="932"/>
    </row>
    <row r="18" spans="1:18" ht="42.6" customHeight="1" thickBot="1" x14ac:dyDescent="0.3">
      <c r="A18" s="927"/>
      <c r="B18" s="689">
        <f>D18/E17</f>
        <v>0.36293007769145391</v>
      </c>
      <c r="C18" s="683" t="s">
        <v>376</v>
      </c>
      <c r="D18" s="596">
        <f>E17*E10</f>
        <v>70.698779134295222</v>
      </c>
      <c r="E18" s="933"/>
      <c r="F18" s="659"/>
      <c r="G18" s="659" t="s">
        <v>341</v>
      </c>
      <c r="L18" s="668" t="s">
        <v>346</v>
      </c>
      <c r="M18" s="679" t="s">
        <v>403</v>
      </c>
      <c r="N18" s="724">
        <v>0.82</v>
      </c>
      <c r="O18" s="904" t="s">
        <v>404</v>
      </c>
      <c r="P18" s="904"/>
      <c r="Q18" s="715">
        <v>1.35</v>
      </c>
    </row>
    <row r="19" spans="1:18" ht="18" customHeight="1" thickBot="1" x14ac:dyDescent="0.3">
      <c r="A19" s="646"/>
      <c r="B19" s="646"/>
      <c r="C19" s="646"/>
      <c r="D19" s="646"/>
      <c r="E19" s="646"/>
      <c r="F19" s="646"/>
      <c r="G19" s="646"/>
      <c r="L19" s="550"/>
      <c r="R19" s="645"/>
    </row>
    <row r="20" spans="1:18" ht="31.9" customHeight="1" x14ac:dyDescent="0.25">
      <c r="E20" s="740" t="s">
        <v>416</v>
      </c>
      <c r="F20" s="636"/>
      <c r="H20" s="906" t="s">
        <v>373</v>
      </c>
      <c r="I20" s="907"/>
      <c r="K20" s="558" t="s">
        <v>353</v>
      </c>
      <c r="L20" s="702" t="s">
        <v>396</v>
      </c>
      <c r="M20" s="912" t="s">
        <v>406</v>
      </c>
      <c r="N20" s="912"/>
      <c r="O20" s="721" t="s">
        <v>344</v>
      </c>
      <c r="P20" s="663" t="s">
        <v>345</v>
      </c>
      <c r="Q20" s="731" t="s">
        <v>253</v>
      </c>
    </row>
    <row r="21" spans="1:18" ht="33" customHeight="1" x14ac:dyDescent="0.25">
      <c r="A21" s="926" t="s">
        <v>366</v>
      </c>
      <c r="B21" s="689">
        <f>D21/E21</f>
        <v>0.69389592230854613</v>
      </c>
      <c r="C21" s="682" t="s">
        <v>365</v>
      </c>
      <c r="D21" s="681">
        <f>D17-D9</f>
        <v>71.105168682643239</v>
      </c>
      <c r="E21" s="928">
        <f>N4</f>
        <v>102.47238295633878</v>
      </c>
      <c r="F21" s="920" t="s">
        <v>391</v>
      </c>
      <c r="G21" s="921"/>
      <c r="H21" s="692">
        <f>D9/D21</f>
        <v>0.74531926672720039</v>
      </c>
      <c r="I21" s="657" t="s">
        <v>342</v>
      </c>
      <c r="K21" s="706">
        <f>D17</f>
        <v>124.10122086570479</v>
      </c>
      <c r="L21" s="708" t="s">
        <v>342</v>
      </c>
      <c r="M21" s="900">
        <f>D17*N23</f>
        <v>124.10122086570479</v>
      </c>
      <c r="N21" s="900"/>
      <c r="O21" s="703">
        <f>D17+M21</f>
        <v>248.20244173140958</v>
      </c>
      <c r="P21" s="900">
        <f>O21+O22</f>
        <v>435.5542064372919</v>
      </c>
      <c r="Q21" s="902">
        <f>(P21-Q4)/Q4</f>
        <v>1.3050562376282937</v>
      </c>
    </row>
    <row r="22" spans="1:18" ht="31.15" customHeight="1" thickBot="1" x14ac:dyDescent="0.3">
      <c r="A22" s="927"/>
      <c r="B22" s="689">
        <f>D22/E21</f>
        <v>0.30610407769145387</v>
      </c>
      <c r="C22" s="684" t="s">
        <v>364</v>
      </c>
      <c r="D22" s="681">
        <f>D18-D11</f>
        <v>31.367214273695538</v>
      </c>
      <c r="E22" s="929"/>
      <c r="F22" s="920" t="s">
        <v>392</v>
      </c>
      <c r="G22" s="921"/>
      <c r="H22" s="693">
        <f>D11/D22</f>
        <v>1.2539068505545623</v>
      </c>
      <c r="I22" s="658" t="s">
        <v>341</v>
      </c>
      <c r="K22" s="707">
        <f>D18</f>
        <v>70.698779134295222</v>
      </c>
      <c r="L22" s="732" t="s">
        <v>404</v>
      </c>
      <c r="M22" s="900">
        <f>D18*Q23</f>
        <v>116.65298557158711</v>
      </c>
      <c r="N22" s="900"/>
      <c r="O22" s="703">
        <f>D18+M22</f>
        <v>187.35176470588232</v>
      </c>
      <c r="P22" s="915"/>
      <c r="Q22" s="902"/>
    </row>
    <row r="23" spans="1:18" ht="25.15" customHeight="1" thickBot="1" x14ac:dyDescent="0.3">
      <c r="D23" s="550"/>
      <c r="E23" s="550"/>
      <c r="F23" s="636"/>
      <c r="H23" s="922">
        <v>0.90100000000000002</v>
      </c>
      <c r="I23" s="924" t="s">
        <v>374</v>
      </c>
      <c r="L23" s="667" t="s">
        <v>346</v>
      </c>
      <c r="M23" s="679" t="s">
        <v>403</v>
      </c>
      <c r="N23" s="725">
        <v>1</v>
      </c>
      <c r="O23" s="904" t="s">
        <v>404</v>
      </c>
      <c r="P23" s="904"/>
      <c r="Q23" s="726">
        <v>1.65</v>
      </c>
    </row>
    <row r="24" spans="1:18" ht="15" customHeight="1" thickBot="1" x14ac:dyDescent="0.3">
      <c r="A24" s="916" t="s">
        <v>379</v>
      </c>
      <c r="B24" s="916"/>
      <c r="C24" s="652" t="s">
        <v>417</v>
      </c>
      <c r="D24" s="653">
        <f>D29</f>
        <v>48.097820163487739</v>
      </c>
      <c r="E24" s="597">
        <f>E25-D24</f>
        <v>0.6151798365122616</v>
      </c>
      <c r="H24" s="923"/>
      <c r="I24" s="925"/>
      <c r="J24" s="637"/>
      <c r="L24" s="550"/>
    </row>
    <row r="25" spans="1:18" ht="31.15" customHeight="1" x14ac:dyDescent="0.25">
      <c r="A25" s="916"/>
      <c r="B25" s="916"/>
      <c r="C25" s="690" t="s">
        <v>388</v>
      </c>
      <c r="D25" s="651">
        <v>41.2102</v>
      </c>
      <c r="E25" s="917">
        <f>D25+D26</f>
        <v>48.713000000000001</v>
      </c>
      <c r="I25" s="549"/>
      <c r="J25" s="549"/>
      <c r="K25" s="558" t="s">
        <v>353</v>
      </c>
      <c r="L25" s="729" t="s">
        <v>397</v>
      </c>
      <c r="M25" s="912" t="s">
        <v>406</v>
      </c>
      <c r="N25" s="912"/>
      <c r="O25" s="721" t="s">
        <v>344</v>
      </c>
      <c r="P25" s="663" t="s">
        <v>345</v>
      </c>
      <c r="Q25" s="731" t="s">
        <v>253</v>
      </c>
    </row>
    <row r="26" spans="1:18" ht="28.15" customHeight="1" x14ac:dyDescent="0.25">
      <c r="A26" s="916"/>
      <c r="B26" s="916"/>
      <c r="C26" s="690" t="s">
        <v>389</v>
      </c>
      <c r="D26" s="651">
        <f>4.0965+3.3733+0.033</f>
        <v>7.5027999999999997</v>
      </c>
      <c r="E26" s="918"/>
      <c r="F26" s="636"/>
      <c r="K26" s="706">
        <f>D17</f>
        <v>124.10122086570479</v>
      </c>
      <c r="L26" s="708" t="s">
        <v>342</v>
      </c>
      <c r="M26" s="900">
        <f>D17*N28</f>
        <v>148.92146503884575</v>
      </c>
      <c r="N26" s="900"/>
      <c r="O26" s="703">
        <f>D17+M26</f>
        <v>273.02268590455054</v>
      </c>
      <c r="P26" s="900">
        <f>O26+O27</f>
        <v>488.65396226415095</v>
      </c>
      <c r="Q26" s="905">
        <f>(P26-Q4)/Q4</f>
        <v>1.586072748492511</v>
      </c>
    </row>
    <row r="27" spans="1:18" ht="31.9" customHeight="1" thickBot="1" x14ac:dyDescent="0.3">
      <c r="C27" s="649" t="s">
        <v>378</v>
      </c>
      <c r="D27" s="650">
        <f>H4</f>
        <v>57.602179836512263</v>
      </c>
      <c r="E27" s="687">
        <f>D27+D24</f>
        <v>105.7</v>
      </c>
      <c r="F27" s="919" t="s">
        <v>390</v>
      </c>
      <c r="G27" s="919"/>
      <c r="H27" s="919"/>
      <c r="K27" s="707">
        <f>D18</f>
        <v>70.698779134295222</v>
      </c>
      <c r="L27" s="732" t="s">
        <v>404</v>
      </c>
      <c r="M27" s="900">
        <f>D18*Q28</f>
        <v>144.93249722530518</v>
      </c>
      <c r="N27" s="900"/>
      <c r="O27" s="703">
        <f>D18+M27</f>
        <v>215.63127635960041</v>
      </c>
      <c r="P27" s="915"/>
      <c r="Q27" s="905"/>
    </row>
    <row r="28" spans="1:18" ht="45" customHeight="1" thickBot="1" x14ac:dyDescent="0.3">
      <c r="C28" s="684" t="s">
        <v>384</v>
      </c>
      <c r="D28" s="685">
        <f>D27*1.835</f>
        <v>105.7</v>
      </c>
      <c r="E28" s="686">
        <f>E27-D28</f>
        <v>0</v>
      </c>
      <c r="F28" s="913" t="s">
        <v>362</v>
      </c>
      <c r="G28" s="913"/>
      <c r="H28" s="913"/>
      <c r="L28" s="667" t="s">
        <v>346</v>
      </c>
      <c r="M28" s="679" t="s">
        <v>403</v>
      </c>
      <c r="N28" s="725">
        <v>1.2</v>
      </c>
      <c r="O28" s="904" t="s">
        <v>404</v>
      </c>
      <c r="P28" s="904"/>
      <c r="Q28" s="726">
        <v>2.0499999999999998</v>
      </c>
    </row>
    <row r="29" spans="1:18" ht="15.75" thickBot="1" x14ac:dyDescent="0.3">
      <c r="B29" s="741" t="s">
        <v>418</v>
      </c>
      <c r="C29" s="691" t="s">
        <v>371</v>
      </c>
      <c r="D29" s="653">
        <f>D27*0.835</f>
        <v>48.097820163487739</v>
      </c>
      <c r="E29" s="742">
        <f>D29/D27</f>
        <v>0.83499999999999996</v>
      </c>
    </row>
    <row r="30" spans="1:18" ht="34.15" customHeight="1" x14ac:dyDescent="0.25">
      <c r="C30" s="539" t="s">
        <v>363</v>
      </c>
      <c r="D30" s="686">
        <f>D24-D29</f>
        <v>0</v>
      </c>
      <c r="E30" s="688">
        <f>E28/E27</f>
        <v>0</v>
      </c>
      <c r="F30" s="914" t="s">
        <v>337</v>
      </c>
      <c r="G30" s="914"/>
      <c r="H30" s="914"/>
      <c r="K30" s="558" t="s">
        <v>353</v>
      </c>
      <c r="L30" s="702" t="s">
        <v>398</v>
      </c>
      <c r="M30" s="912" t="s">
        <v>406</v>
      </c>
      <c r="N30" s="912"/>
      <c r="O30" s="721" t="s">
        <v>344</v>
      </c>
      <c r="P30" s="663" t="s">
        <v>345</v>
      </c>
      <c r="Q30" s="731" t="s">
        <v>253</v>
      </c>
    </row>
    <row r="31" spans="1:18" ht="19.149999999999999" customHeight="1" thickBot="1" x14ac:dyDescent="0.3">
      <c r="K31" s="706">
        <f>D17</f>
        <v>124.10122086570479</v>
      </c>
      <c r="L31" s="708" t="s">
        <v>342</v>
      </c>
      <c r="M31" s="900">
        <f>D17*N33</f>
        <v>186.15183129855717</v>
      </c>
      <c r="N31" s="900"/>
      <c r="O31" s="703">
        <f>D17+M31</f>
        <v>310.25305216426193</v>
      </c>
      <c r="P31" s="900">
        <f>O31+O32</f>
        <v>568.30359600443944</v>
      </c>
      <c r="Q31" s="905">
        <f>(P31-Q4)/Q4</f>
        <v>2.0075975147888365</v>
      </c>
    </row>
    <row r="32" spans="1:18" ht="29.45" customHeight="1" thickBot="1" x14ac:dyDescent="0.3">
      <c r="C32" s="635" t="s">
        <v>329</v>
      </c>
      <c r="D32" s="699">
        <f>57.4</f>
        <v>57.4</v>
      </c>
      <c r="E32" s="906" t="s">
        <v>373</v>
      </c>
      <c r="F32" s="907"/>
      <c r="K32" s="707">
        <f>D18</f>
        <v>70.698779134295222</v>
      </c>
      <c r="L32" s="732" t="s">
        <v>404</v>
      </c>
      <c r="M32" s="900">
        <f>D18*Q33</f>
        <v>187.35176470588235</v>
      </c>
      <c r="N32" s="900"/>
      <c r="O32" s="703">
        <f>D18+M32</f>
        <v>258.05054384017757</v>
      </c>
      <c r="P32" s="915"/>
      <c r="Q32" s="905"/>
    </row>
    <row r="33" spans="3:17" ht="20.45" customHeight="1" thickBot="1" x14ac:dyDescent="0.3">
      <c r="C33" s="541" t="s">
        <v>333</v>
      </c>
      <c r="D33" s="700">
        <f>D9</f>
        <v>52.996052183061551</v>
      </c>
      <c r="E33" s="908">
        <f>H21</f>
        <v>0.74531926672720039</v>
      </c>
      <c r="F33" s="909"/>
      <c r="L33" s="667" t="s">
        <v>346</v>
      </c>
      <c r="M33" s="679" t="s">
        <v>403</v>
      </c>
      <c r="N33" s="725">
        <v>1.5</v>
      </c>
      <c r="O33" s="904" t="s">
        <v>404</v>
      </c>
      <c r="P33" s="904"/>
      <c r="Q33" s="726">
        <v>2.65</v>
      </c>
    </row>
    <row r="34" spans="3:17" ht="13.15" customHeight="1" thickBot="1" x14ac:dyDescent="0.3">
      <c r="C34" s="635" t="s">
        <v>377</v>
      </c>
      <c r="D34" s="606">
        <f>100-D32</f>
        <v>42.6</v>
      </c>
    </row>
    <row r="35" spans="3:17" ht="36.75" thickBot="1" x14ac:dyDescent="0.3">
      <c r="C35" s="541" t="s">
        <v>359</v>
      </c>
      <c r="D35" s="700">
        <f>D11</f>
        <v>39.331564860599684</v>
      </c>
      <c r="E35" s="910">
        <f>H22</f>
        <v>1.2539068505545623</v>
      </c>
      <c r="F35" s="911"/>
      <c r="K35" s="558" t="s">
        <v>353</v>
      </c>
      <c r="L35" s="728" t="s">
        <v>394</v>
      </c>
      <c r="M35" s="912" t="s">
        <v>405</v>
      </c>
      <c r="N35" s="912"/>
      <c r="O35" s="721" t="s">
        <v>344</v>
      </c>
      <c r="P35" s="663" t="s">
        <v>345</v>
      </c>
      <c r="Q35" s="731" t="s">
        <v>253</v>
      </c>
    </row>
    <row r="36" spans="3:17" ht="24.6" customHeight="1" x14ac:dyDescent="0.25">
      <c r="D36" s="636"/>
      <c r="K36" s="706">
        <f>D17</f>
        <v>124.10122086570479</v>
      </c>
      <c r="L36" s="704" t="s">
        <v>342</v>
      </c>
      <c r="M36" s="900">
        <f>D17*N38</f>
        <v>92.495030935577432</v>
      </c>
      <c r="N36" s="900"/>
      <c r="O36" s="703">
        <f>D17+M36</f>
        <v>216.59625180128222</v>
      </c>
      <c r="P36" s="900">
        <f>O36+O37</f>
        <v>375.94471441791416</v>
      </c>
      <c r="Q36" s="902">
        <f>(P36-Q4)/Q4</f>
        <v>0.98958865777172533</v>
      </c>
    </row>
    <row r="37" spans="3:17" ht="29.45" customHeight="1" thickBot="1" x14ac:dyDescent="0.3">
      <c r="K37" s="707">
        <f>D18</f>
        <v>70.698779134295222</v>
      </c>
      <c r="L37" s="732" t="s">
        <v>404</v>
      </c>
      <c r="M37" s="903">
        <f>D18*Q38</f>
        <v>88.649683482336727</v>
      </c>
      <c r="N37" s="903"/>
      <c r="O37" s="705">
        <f>D18+M37</f>
        <v>159.34846261663193</v>
      </c>
      <c r="P37" s="901"/>
      <c r="Q37" s="902"/>
    </row>
    <row r="38" spans="3:17" ht="19.5" thickBot="1" x14ac:dyDescent="0.3">
      <c r="L38" s="668" t="s">
        <v>346</v>
      </c>
      <c r="M38" s="679" t="s">
        <v>403</v>
      </c>
      <c r="N38" s="725">
        <f>N13</f>
        <v>0.74531926672720039</v>
      </c>
      <c r="O38" s="904" t="s">
        <v>404</v>
      </c>
      <c r="P38" s="904"/>
      <c r="Q38" s="727">
        <f>Q13</f>
        <v>1.2539068505545623</v>
      </c>
    </row>
  </sheetData>
  <mergeCells count="72">
    <mergeCell ref="O38:P38"/>
    <mergeCell ref="E32:F32"/>
    <mergeCell ref="E33:F33"/>
    <mergeCell ref="E35:F35"/>
    <mergeCell ref="Q2:Q3"/>
    <mergeCell ref="H4:I4"/>
    <mergeCell ref="M35:N35"/>
    <mergeCell ref="M36:N36"/>
    <mergeCell ref="P36:P37"/>
    <mergeCell ref="Q36:Q37"/>
    <mergeCell ref="M37:N37"/>
    <mergeCell ref="Q31:Q32"/>
    <mergeCell ref="M32:N32"/>
    <mergeCell ref="O33:P33"/>
    <mergeCell ref="L2:M3"/>
    <mergeCell ref="L4:M4"/>
    <mergeCell ref="F28:H28"/>
    <mergeCell ref="O28:P28"/>
    <mergeCell ref="F30:H30"/>
    <mergeCell ref="M30:N30"/>
    <mergeCell ref="M31:N31"/>
    <mergeCell ref="P31:P32"/>
    <mergeCell ref="A24:B26"/>
    <mergeCell ref="M25:N25"/>
    <mergeCell ref="M26:N26"/>
    <mergeCell ref="P26:P27"/>
    <mergeCell ref="Q26:Q27"/>
    <mergeCell ref="F27:H27"/>
    <mergeCell ref="M27:N27"/>
    <mergeCell ref="E25:E26"/>
    <mergeCell ref="Q21:Q22"/>
    <mergeCell ref="F22:G22"/>
    <mergeCell ref="M22:N22"/>
    <mergeCell ref="H23:H24"/>
    <mergeCell ref="I23:I24"/>
    <mergeCell ref="O23:P23"/>
    <mergeCell ref="A21:A22"/>
    <mergeCell ref="E21:E22"/>
    <mergeCell ref="F21:G21"/>
    <mergeCell ref="M21:N21"/>
    <mergeCell ref="P21:P22"/>
    <mergeCell ref="A17:A18"/>
    <mergeCell ref="E17:E18"/>
    <mergeCell ref="M17:N17"/>
    <mergeCell ref="O18:P18"/>
    <mergeCell ref="H20:I20"/>
    <mergeCell ref="M20:N20"/>
    <mergeCell ref="F10:G10"/>
    <mergeCell ref="O10:Q10"/>
    <mergeCell ref="K13:L13"/>
    <mergeCell ref="O13:P13"/>
    <mergeCell ref="F16:G16"/>
    <mergeCell ref="M16:N16"/>
    <mergeCell ref="P16:P17"/>
    <mergeCell ref="Q16:Q17"/>
    <mergeCell ref="O2:O3"/>
    <mergeCell ref="P2:P3"/>
    <mergeCell ref="O6:Q6"/>
    <mergeCell ref="O7:Q7"/>
    <mergeCell ref="O11:Q11"/>
    <mergeCell ref="O9:Q9"/>
    <mergeCell ref="J2:K3"/>
    <mergeCell ref="J4:K4"/>
    <mergeCell ref="H2:I3"/>
    <mergeCell ref="L5:L6"/>
    <mergeCell ref="M15:N15"/>
    <mergeCell ref="N2:N3"/>
    <mergeCell ref="A6:B6"/>
    <mergeCell ref="K5:K6"/>
    <mergeCell ref="J5:J6"/>
    <mergeCell ref="F8:G8"/>
    <mergeCell ref="O8:Q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3"/>
  <sheetViews>
    <sheetView topLeftCell="A3" workbookViewId="0">
      <selection activeCell="H6" sqref="H6:H7"/>
    </sheetView>
  </sheetViews>
  <sheetFormatPr defaultRowHeight="15" x14ac:dyDescent="0.25"/>
  <cols>
    <col min="1" max="1" width="0.85546875" customWidth="1"/>
    <col min="2" max="2" width="29" customWidth="1"/>
    <col min="3" max="3" width="22.28515625" customWidth="1"/>
    <col min="4" max="4" width="22.140625" customWidth="1"/>
    <col min="5" max="5" width="13.5703125" customWidth="1"/>
    <col min="6" max="6" width="3.5703125" customWidth="1"/>
    <col min="7" max="8" width="8.5703125" customWidth="1"/>
    <col min="9" max="9" width="21.85546875" customWidth="1"/>
    <col min="10" max="10" width="12.5703125" customWidth="1"/>
    <col min="11" max="12" width="10" bestFit="1" customWidth="1"/>
    <col min="13" max="13" width="14" customWidth="1"/>
    <col min="14" max="14" width="12.42578125" customWidth="1"/>
  </cols>
  <sheetData>
    <row r="1" spans="2:14" ht="19.5" thickBot="1" x14ac:dyDescent="0.35">
      <c r="C1" s="191" t="str">
        <f>'GİRDİ SEKMESİ'!C3</f>
        <v>ÖRNEK ÜYE</v>
      </c>
      <c r="D1" s="1715" t="s">
        <v>122</v>
      </c>
      <c r="E1" s="1715"/>
      <c r="F1" s="1715"/>
      <c r="G1" s="1715"/>
      <c r="H1" s="1715"/>
      <c r="I1" s="1715"/>
      <c r="J1" s="1715"/>
    </row>
    <row r="2" spans="2:14" ht="48.6" customHeight="1" thickTop="1" thickBot="1" x14ac:dyDescent="0.3">
      <c r="B2" s="1706" t="s">
        <v>43</v>
      </c>
      <c r="C2" s="1707"/>
      <c r="D2" s="1707"/>
      <c r="E2" s="1708"/>
      <c r="G2" s="1706" t="s">
        <v>118</v>
      </c>
      <c r="H2" s="1707"/>
      <c r="I2" s="1707"/>
      <c r="J2" s="1707"/>
      <c r="K2" s="1707"/>
      <c r="L2" s="1707"/>
      <c r="M2" s="1707"/>
      <c r="N2" s="1708"/>
    </row>
    <row r="3" spans="2:14" ht="3.6" customHeight="1" thickTop="1" x14ac:dyDescent="0.25"/>
    <row r="4" spans="2:14" ht="86.45" customHeight="1" x14ac:dyDescent="0.25">
      <c r="B4" s="46" t="s">
        <v>112</v>
      </c>
      <c r="C4" s="46" t="s">
        <v>38</v>
      </c>
      <c r="D4" s="47" t="s">
        <v>37</v>
      </c>
      <c r="E4" s="46" t="s">
        <v>42</v>
      </c>
      <c r="G4" s="46" t="s">
        <v>110</v>
      </c>
      <c r="H4" s="46" t="s">
        <v>111</v>
      </c>
      <c r="I4" s="46" t="s">
        <v>73</v>
      </c>
      <c r="J4" s="133" t="s">
        <v>109</v>
      </c>
      <c r="K4" s="133" t="s">
        <v>107</v>
      </c>
      <c r="L4" s="133" t="s">
        <v>108</v>
      </c>
      <c r="M4" s="133" t="s">
        <v>6</v>
      </c>
      <c r="N4" s="133" t="s">
        <v>82</v>
      </c>
    </row>
    <row r="5" spans="2:14" ht="39" customHeight="1" x14ac:dyDescent="0.25">
      <c r="B5" s="185" t="s">
        <v>114</v>
      </c>
      <c r="C5" s="65">
        <f>'5 YILLIK GELECEĞİ PLANLAMA '!E46</f>
        <v>1331406.5414027721</v>
      </c>
      <c r="D5" s="65">
        <f>'5 YILLIK GELECEĞİ PLANLAMA '!E43</f>
        <v>39244.631793383865</v>
      </c>
      <c r="E5" s="305">
        <f>'5 YILLIK GELECEĞİ PLANLAMA '!B2</f>
        <v>90.1</v>
      </c>
      <c r="G5" s="176">
        <f t="shared" ref="G5:G10" si="0">D5*12</f>
        <v>470935.58152060641</v>
      </c>
      <c r="H5" s="176">
        <f>'5 YILLIK GELECEĞİ PLANLAMA '!E45</f>
        <v>421415.54140277195</v>
      </c>
      <c r="I5" s="65">
        <f t="shared" ref="I5:I10" si="1">C5+12*D5</f>
        <v>1802342.1229233784</v>
      </c>
      <c r="J5" s="176">
        <f>'5 YILLIK GELECEĞİ PLANLAMA '!E41</f>
        <v>892351.12292337837</v>
      </c>
      <c r="K5" s="179">
        <f>'5 YILLIK GELECEĞİ PLANLAMA '!E38</f>
        <v>3190.3598602398033</v>
      </c>
      <c r="L5" s="179">
        <f>'5 YILLIK GELECEĞİ PLANLAMA '!E39</f>
        <v>24063.298306792785</v>
      </c>
      <c r="M5" s="177">
        <f>K5+L5</f>
        <v>27253.65816703259</v>
      </c>
      <c r="N5" s="177">
        <f>'5 YILLIK GELECEĞİ PLANLAMA '!E13</f>
        <v>392446.31793383864</v>
      </c>
    </row>
    <row r="6" spans="2:14" ht="42.6" customHeight="1" x14ac:dyDescent="0.25">
      <c r="B6" s="185" t="s">
        <v>115</v>
      </c>
      <c r="C6" s="66">
        <f>'5 YILLIK GELECEĞİ PLANLAMA '!H46</f>
        <v>1982817.7516085305</v>
      </c>
      <c r="D6" s="67">
        <f>'5 YILLIK GELECEĞİ PLANLAMA '!H43</f>
        <v>53806.411011396638</v>
      </c>
      <c r="E6" s="67">
        <f>'5 YILLIK GELECEĞİ PLANLAMA '!C2</f>
        <v>77.099999999999994</v>
      </c>
      <c r="G6" s="175">
        <f t="shared" si="0"/>
        <v>645676.93213675963</v>
      </c>
      <c r="H6" s="506">
        <f>'5 YILLIK GELECEĞİ PLANLAMA '!H45</f>
        <v>567031.75160853053</v>
      </c>
      <c r="I6" s="174">
        <f t="shared" si="1"/>
        <v>2628494.6837452902</v>
      </c>
      <c r="J6" s="175">
        <f>'5 YILLIK GELECEĞİ PLANLAMA '!H41</f>
        <v>1212708.6837452902</v>
      </c>
      <c r="K6" s="180">
        <f>'5 YILLIK GELECEĞİ PLANLAMA '!H38</f>
        <v>6462.0712284470246</v>
      </c>
      <c r="L6" s="181">
        <f>'5 YILLIK GELECEĞİ PLANLAMA '!H39</f>
        <v>32759.25250571482</v>
      </c>
      <c r="M6" s="178">
        <f>'5 YILLIK GELECEĞİ PLANLAMA '!H40</f>
        <v>39221.323734161844</v>
      </c>
      <c r="N6" s="178">
        <f>'5 YILLIK GELECEĞİ PLANLAMA '!H13</f>
        <v>538064.11011396628</v>
      </c>
    </row>
    <row r="7" spans="2:14" ht="41.45" customHeight="1" x14ac:dyDescent="0.25">
      <c r="B7" s="186" t="s">
        <v>116</v>
      </c>
      <c r="C7" s="68">
        <f>'5 YILLIK GELECEĞİ PLANLAMA '!L46</f>
        <v>2622042.2999212435</v>
      </c>
      <c r="D7" s="69">
        <f>'5 YILLIK GELECEĞİ PLANLAMA '!L43</f>
        <v>56780.967774334131</v>
      </c>
      <c r="E7" s="69">
        <f>'5 YILLIK GELECEĞİ PLANLAMA '!D2</f>
        <v>55.2</v>
      </c>
      <c r="G7" s="182">
        <f t="shared" si="0"/>
        <v>681371.61329200957</v>
      </c>
      <c r="H7" s="507">
        <f>'5 YILLIK GELECEĞİ PLANLAMA '!L45</f>
        <v>568186.95992124383</v>
      </c>
      <c r="I7" s="68">
        <f t="shared" si="1"/>
        <v>3303413.913213253</v>
      </c>
      <c r="J7" s="104">
        <f>'5 YILLIK GELECEĞİ PLANLAMA '!L41</f>
        <v>1249558.5732132534</v>
      </c>
      <c r="K7" s="183">
        <f>'5 YILLIK GELECEĞİ PLANLAMA '!L38</f>
        <v>9547.8006007782606</v>
      </c>
      <c r="L7" s="183">
        <f>'5 YILLIK GELECEĞİ PLANLAMA '!L39</f>
        <v>33832.326983776235</v>
      </c>
      <c r="M7" s="184">
        <f>'5 YILLIK GELECEĞİ PLANLAMA '!L40</f>
        <v>43380.127584554495</v>
      </c>
      <c r="N7" s="184">
        <f>'5 YILLIK GELECEĞİ PLANLAMA '!L13</f>
        <v>567809.67774334131</v>
      </c>
    </row>
    <row r="8" spans="2:14" ht="40.15" customHeight="1" x14ac:dyDescent="0.25">
      <c r="B8" s="187" t="s">
        <v>117</v>
      </c>
      <c r="C8" s="65">
        <f>'5 YILLIK GELECEĞİ PLANLAMA '!P46</f>
        <v>3638867.3462584633</v>
      </c>
      <c r="D8" s="65">
        <f>'5 YILLIK GELECEĞİ PLANLAMA '!P43</f>
        <v>95370.495949100063</v>
      </c>
      <c r="E8" s="65">
        <f>'5 YILLIK GELECEĞİ PLANLAMA '!E2</f>
        <v>75</v>
      </c>
      <c r="G8" s="308">
        <f t="shared" si="0"/>
        <v>1144445.9513892008</v>
      </c>
      <c r="H8" s="308">
        <f>'5 YILLIK GELECEĞİ PLANLAMA '!P45</f>
        <v>1001390.2074655506</v>
      </c>
      <c r="I8" s="65">
        <f t="shared" si="1"/>
        <v>4783313.2976476643</v>
      </c>
      <c r="J8" s="102">
        <f>'5 YILLIK GELECEĞİ PLANLAMA '!P41</f>
        <v>2145836.1588547514</v>
      </c>
      <c r="K8" s="179">
        <f>'5 YILLIK GELECEĞİ PLANLAMA '!P38</f>
        <v>11108.313824622035</v>
      </c>
      <c r="L8" s="179">
        <f>'5 YILLIK GELECEĞİ PLANLAMA '!P39</f>
        <v>57957.335617709774</v>
      </c>
      <c r="M8" s="177">
        <f>'5 YILLIK GELECEĞİ PLANLAMA '!P40</f>
        <v>69065.649442331807</v>
      </c>
      <c r="N8" s="177">
        <f>'5 YILLIK GELECEĞİ PLANLAMA '!P13</f>
        <v>953704.95949100063</v>
      </c>
    </row>
    <row r="9" spans="2:14" ht="39.6" customHeight="1" x14ac:dyDescent="0.25">
      <c r="B9" s="185" t="s">
        <v>162</v>
      </c>
      <c r="C9" s="66">
        <f>'5 YILLIK GELECEĞİ PLANLAMA '!T46</f>
        <v>5088780.9772289861</v>
      </c>
      <c r="D9" s="66">
        <f>'5 YILLIK GELECEĞİ PLANLAMA '!T43</f>
        <v>122205.02681495629</v>
      </c>
      <c r="E9" s="66">
        <f>'5 YILLIK GELECEĞİ PLANLAMA '!F2</f>
        <v>65</v>
      </c>
      <c r="G9" s="309">
        <f t="shared" si="0"/>
        <v>1466460.3217794755</v>
      </c>
      <c r="H9" s="309">
        <f>'5 YILLIK GELECEĞİ PLANLAMA '!T45</f>
        <v>1256965.9900966934</v>
      </c>
      <c r="I9" s="66">
        <f t="shared" si="1"/>
        <v>6555241.2990084616</v>
      </c>
      <c r="J9" s="103">
        <f>'5 YILLIK GELECEĞİ PLANLAMA '!T41</f>
        <v>2723426.3118761689</v>
      </c>
      <c r="K9" s="180">
        <f>'5 YILLIK GELECEĞİ PLANLAMA '!T38</f>
        <v>15858.305175256184</v>
      </c>
      <c r="L9" s="180">
        <f>'5 YILLIK GELECEĞİ PLANLAMA '!T39</f>
        <v>73604.879455085858</v>
      </c>
      <c r="M9" s="103">
        <f>'5 YILLIK GELECEĞİ PLANLAMA '!T40</f>
        <v>89463.184630342046</v>
      </c>
      <c r="N9" s="103">
        <f>'5 YILLIK GELECEĞİ PLANLAMA '!T13</f>
        <v>1222050.2681495629</v>
      </c>
    </row>
    <row r="10" spans="2:14" ht="39.6" customHeight="1" x14ac:dyDescent="0.25">
      <c r="B10" s="185" t="s">
        <v>224</v>
      </c>
      <c r="C10" s="66">
        <f>'5 YILLIK GELECEĞİ PLANLAMA '!X46</f>
        <v>6934883.1466754535</v>
      </c>
      <c r="D10" s="66">
        <f>'5 YILLIK GELECEĞİ PLANLAMA '!X43</f>
        <v>166437.59174750399</v>
      </c>
      <c r="E10" s="66">
        <f>'5 YILLIK GELECEĞİ PLANLAMA '!G2</f>
        <v>65</v>
      </c>
      <c r="G10" s="309">
        <f t="shared" si="0"/>
        <v>1997251.100970048</v>
      </c>
      <c r="H10" s="309">
        <f>'5 YILLIK GELECEĞİ PLANLAMA '!X45</f>
        <v>1711929.5151171843</v>
      </c>
      <c r="I10" s="66">
        <f t="shared" si="1"/>
        <v>8932134.247645501</v>
      </c>
      <c r="J10" s="103">
        <f>'5 YILLIK GELECEĞİ PLANLAMA '!X41</f>
        <v>3709180.6160872323</v>
      </c>
      <c r="K10" s="180">
        <f>'5 YILLIK GELECEĞİ PLANLAMA '!X38</f>
        <v>22204.794457503238</v>
      </c>
      <c r="L10" s="180">
        <f>'5 YILLIK GELECEĞİ PLANLAMA '!X39</f>
        <v>100262.73707886679</v>
      </c>
      <c r="M10" s="103">
        <f>'5 YILLIK GELECEĞİ PLANLAMA '!X40</f>
        <v>122467.53153637002</v>
      </c>
      <c r="N10" s="103">
        <f>'5 YILLIK GELECEĞİ PLANLAMA '!X13</f>
        <v>1664375.9174750398</v>
      </c>
    </row>
    <row r="11" spans="2:14" ht="15.75" thickBot="1" x14ac:dyDescent="0.3">
      <c r="B11" t="s">
        <v>113</v>
      </c>
    </row>
    <row r="12" spans="2:14" ht="16.899999999999999" customHeight="1" thickTop="1" thickBot="1" x14ac:dyDescent="0.3">
      <c r="B12" s="1709" t="s">
        <v>44</v>
      </c>
      <c r="C12" s="1710"/>
      <c r="D12" s="1710"/>
      <c r="E12" s="1711"/>
      <c r="G12" s="1712" t="s">
        <v>44</v>
      </c>
      <c r="H12" s="1713"/>
      <c r="I12" s="1713"/>
      <c r="J12" s="1713"/>
      <c r="K12" s="1713"/>
      <c r="L12" s="1713"/>
      <c r="M12" s="1713"/>
      <c r="N12" s="1714"/>
    </row>
    <row r="13" spans="2:14" ht="15.75" thickTop="1" x14ac:dyDescent="0.25"/>
  </sheetData>
  <mergeCells count="5">
    <mergeCell ref="B2:E2"/>
    <mergeCell ref="B12:E12"/>
    <mergeCell ref="G2:N2"/>
    <mergeCell ref="G12:N12"/>
    <mergeCell ref="D1:J1"/>
  </mergeCell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G56"/>
  <sheetViews>
    <sheetView tabSelected="1" zoomScale="40" zoomScaleNormal="40" workbookViewId="0">
      <selection activeCell="L7" sqref="L7"/>
    </sheetView>
  </sheetViews>
  <sheetFormatPr defaultRowHeight="15" x14ac:dyDescent="0.25"/>
  <cols>
    <col min="2" max="2" width="1.140625" customWidth="1"/>
    <col min="3" max="3" width="21.7109375" customWidth="1"/>
    <col min="4" max="4" width="21.28515625" customWidth="1"/>
    <col min="5" max="5" width="19.7109375" customWidth="1"/>
    <col min="6" max="6" width="15.7109375" customWidth="1"/>
    <col min="7" max="7" width="20.5703125" customWidth="1"/>
    <col min="8" max="8" width="9.28515625" customWidth="1"/>
    <col min="9" max="9" width="16" bestFit="1" customWidth="1"/>
    <col min="11" max="11" width="18.42578125" customWidth="1"/>
    <col min="12" max="12" width="20.28515625" customWidth="1"/>
    <col min="13" max="13" width="31.42578125" customWidth="1"/>
    <col min="14" max="14" width="17.5703125" customWidth="1"/>
    <col min="15" max="15" width="15.5703125" customWidth="1"/>
    <col min="17" max="17" width="21.7109375" customWidth="1"/>
    <col min="18" max="18" width="8.85546875" customWidth="1"/>
    <col min="19" max="19" width="29.140625" customWidth="1"/>
    <col min="21" max="21" width="12.5703125" customWidth="1"/>
    <col min="23" max="23" width="11.7109375" customWidth="1"/>
    <col min="25" max="25" width="3.28515625" customWidth="1"/>
    <col min="26" max="26" width="52.42578125" customWidth="1"/>
    <col min="27" max="27" width="32.28515625" customWidth="1"/>
    <col min="28" max="28" width="31.7109375" customWidth="1"/>
    <col min="29" max="29" width="25.85546875" customWidth="1"/>
    <col min="31" max="31" width="19" customWidth="1"/>
  </cols>
  <sheetData>
    <row r="1" spans="3:33" ht="2.4500000000000002" customHeight="1" thickBot="1" x14ac:dyDescent="0.3"/>
    <row r="2" spans="3:33" ht="66" customHeight="1" thickTop="1" thickBot="1" x14ac:dyDescent="0.3">
      <c r="C2" s="864" t="s">
        <v>121</v>
      </c>
      <c r="D2" s="991" t="s">
        <v>239</v>
      </c>
      <c r="E2" s="992"/>
      <c r="F2" s="992"/>
      <c r="G2" s="993"/>
      <c r="I2" s="996" t="s">
        <v>232</v>
      </c>
      <c r="J2" s="997"/>
      <c r="K2" s="987" t="s">
        <v>124</v>
      </c>
      <c r="L2" s="989" t="s">
        <v>138</v>
      </c>
      <c r="M2" s="989" t="s">
        <v>234</v>
      </c>
      <c r="O2" s="1015" t="s">
        <v>548</v>
      </c>
      <c r="P2" s="1016"/>
      <c r="Q2" s="1016"/>
      <c r="R2" s="1016"/>
      <c r="S2" s="1016"/>
      <c r="T2" s="1016"/>
      <c r="U2" s="1016"/>
      <c r="V2" s="1016"/>
      <c r="W2" s="1016"/>
      <c r="X2" s="1017"/>
      <c r="Z2" s="964" t="s">
        <v>545</v>
      </c>
      <c r="AA2" s="964"/>
    </row>
    <row r="3" spans="3:33" ht="97.15" customHeight="1" thickTop="1" thickBot="1" x14ac:dyDescent="0.3">
      <c r="C3" s="967" t="s">
        <v>549</v>
      </c>
      <c r="D3" s="1008" t="s">
        <v>126</v>
      </c>
      <c r="E3" s="970" t="s">
        <v>233</v>
      </c>
      <c r="F3" s="1006" t="s">
        <v>238</v>
      </c>
      <c r="G3" s="1000" t="s">
        <v>544</v>
      </c>
      <c r="I3" s="998"/>
      <c r="J3" s="999"/>
      <c r="K3" s="988"/>
      <c r="L3" s="990"/>
      <c r="M3" s="990"/>
      <c r="O3" s="869" t="s">
        <v>97</v>
      </c>
      <c r="P3" s="1026" t="s">
        <v>129</v>
      </c>
      <c r="Q3" s="1027"/>
      <c r="R3" s="1026" t="s">
        <v>37</v>
      </c>
      <c r="S3" s="1027"/>
      <c r="T3" s="1024" t="s">
        <v>187</v>
      </c>
      <c r="U3" s="1025"/>
      <c r="V3" s="1018" t="s">
        <v>249</v>
      </c>
      <c r="W3" s="1019"/>
      <c r="X3" s="1020"/>
      <c r="Z3" s="965" t="s">
        <v>528</v>
      </c>
      <c r="AA3" s="966"/>
      <c r="AE3" s="834"/>
      <c r="AG3" s="835"/>
    </row>
    <row r="4" spans="3:33" ht="46.15" customHeight="1" thickTop="1" thickBot="1" x14ac:dyDescent="0.3">
      <c r="C4" s="968"/>
      <c r="D4" s="1009"/>
      <c r="E4" s="971"/>
      <c r="F4" s="1007"/>
      <c r="G4" s="1000"/>
      <c r="I4" s="1002">
        <v>2024</v>
      </c>
      <c r="J4" s="1003"/>
      <c r="K4" s="896">
        <v>50</v>
      </c>
      <c r="L4" s="897">
        <v>77.099999999999994</v>
      </c>
      <c r="M4" s="431">
        <v>1</v>
      </c>
      <c r="O4" s="467">
        <v>2024</v>
      </c>
      <c r="P4" s="1030">
        <f>'AYRINTILI BİLGİLER'!F12</f>
        <v>1982817.7516085305</v>
      </c>
      <c r="Q4" s="1031"/>
      <c r="R4" s="1032">
        <f>'AYRINTILI BİLGİLER'!H12</f>
        <v>53806.411011396638</v>
      </c>
      <c r="S4" s="1033"/>
      <c r="T4" s="1028">
        <f>'AYRINTILI BİLGİLER'!A12</f>
        <v>0.37086397481265321</v>
      </c>
      <c r="U4" s="1029"/>
      <c r="V4" s="1021">
        <f>P4+(R4*12)</f>
        <v>2628494.6837452902</v>
      </c>
      <c r="W4" s="1022"/>
      <c r="X4" s="1023"/>
      <c r="Z4" s="861" t="s">
        <v>516</v>
      </c>
      <c r="AA4" s="880">
        <f>L6</f>
        <v>75</v>
      </c>
      <c r="AE4" s="834"/>
    </row>
    <row r="5" spans="3:33" ht="63" customHeight="1" thickTop="1" thickBot="1" x14ac:dyDescent="0.3">
      <c r="C5" s="969"/>
      <c r="D5" s="1010"/>
      <c r="E5" s="972"/>
      <c r="F5" s="988"/>
      <c r="G5" s="1000"/>
      <c r="I5" s="1004">
        <v>2025</v>
      </c>
      <c r="J5" s="1005"/>
      <c r="K5" s="896">
        <v>50</v>
      </c>
      <c r="L5" s="897">
        <v>55.2</v>
      </c>
      <c r="M5" s="256">
        <v>1</v>
      </c>
      <c r="O5" s="868">
        <v>2025</v>
      </c>
      <c r="P5" s="1013">
        <f>'AYRINTILI BİLGİLER'!F13</f>
        <v>2622042.2999212435</v>
      </c>
      <c r="Q5" s="1014"/>
      <c r="R5" s="975">
        <f>'AYRINTILI BİLGİLER'!H13</f>
        <v>56780.967774334131</v>
      </c>
      <c r="S5" s="976"/>
      <c r="T5" s="985">
        <f>'AYRINTILI BİLGİLER'!A13</f>
        <v>5.7491857085226111E-2</v>
      </c>
      <c r="U5" s="986"/>
      <c r="V5" s="982">
        <f>P5+(R5*12)</f>
        <v>3303413.913213253</v>
      </c>
      <c r="W5" s="983"/>
      <c r="X5" s="984"/>
      <c r="Z5" s="861" t="s">
        <v>530</v>
      </c>
      <c r="AA5" s="883">
        <f>P5</f>
        <v>2622042.2999212435</v>
      </c>
    </row>
    <row r="6" spans="3:33" ht="63" customHeight="1" thickTop="1" thickBot="1" x14ac:dyDescent="0.3">
      <c r="C6" s="197" t="s">
        <v>539</v>
      </c>
      <c r="D6" s="459">
        <v>562162</v>
      </c>
      <c r="E6" s="460">
        <v>6641</v>
      </c>
      <c r="F6" s="459">
        <v>50</v>
      </c>
      <c r="G6" s="1001"/>
      <c r="I6" s="1011">
        <v>2026</v>
      </c>
      <c r="J6" s="1012"/>
      <c r="K6" s="888">
        <v>50</v>
      </c>
      <c r="L6" s="889">
        <v>75</v>
      </c>
      <c r="M6" s="890">
        <v>1</v>
      </c>
      <c r="O6" s="870">
        <v>2026</v>
      </c>
      <c r="P6" s="1051">
        <f>'AYRINTILI BİLGİLER'!F14</f>
        <v>3638867.3462584633</v>
      </c>
      <c r="Q6" s="1052"/>
      <c r="R6" s="1053">
        <f>'AYRINTILI BİLGİLER'!H14</f>
        <v>95370.495949100063</v>
      </c>
      <c r="S6" s="1054"/>
      <c r="T6" s="1037">
        <f>'AYRINTILI BİLGİLER'!A14</f>
        <v>0.67962082520560685</v>
      </c>
      <c r="U6" s="1038"/>
      <c r="V6" s="1034">
        <f>P6+(R6*12)</f>
        <v>4783313.2976476643</v>
      </c>
      <c r="W6" s="1035"/>
      <c r="X6" s="1036"/>
      <c r="Z6" s="861" t="s">
        <v>130</v>
      </c>
      <c r="AA6" s="883">
        <f>'5 YILLIK GELECEĞİ PLANLAMA '!Q37</f>
        <v>2947199.9884064724</v>
      </c>
    </row>
    <row r="7" spans="3:33" ht="63" customHeight="1" thickTop="1" thickBot="1" x14ac:dyDescent="0.3">
      <c r="C7" s="197" t="s">
        <v>540</v>
      </c>
      <c r="D7" s="459">
        <v>831266</v>
      </c>
      <c r="E7" s="461">
        <v>22386</v>
      </c>
      <c r="F7" s="462">
        <v>50</v>
      </c>
      <c r="G7" s="431">
        <v>0</v>
      </c>
      <c r="I7" s="1074">
        <v>2027</v>
      </c>
      <c r="J7" s="1075"/>
      <c r="K7" s="430">
        <v>50</v>
      </c>
      <c r="L7" s="432">
        <v>65</v>
      </c>
      <c r="M7" s="256">
        <v>1</v>
      </c>
      <c r="O7" s="871">
        <v>2027</v>
      </c>
      <c r="P7" s="1055">
        <f>'AYRINTILI BİLGİLER'!F15</f>
        <v>5088780.9772289861</v>
      </c>
      <c r="Q7" s="1056"/>
      <c r="R7" s="1057">
        <f>'AYRINTILI BİLGİLER'!H15</f>
        <v>122205.02681495629</v>
      </c>
      <c r="S7" s="1058"/>
      <c r="T7" s="1070">
        <f>'AYRINTILI BİLGİLER'!A15</f>
        <v>0.28137140945747013</v>
      </c>
      <c r="U7" s="1071"/>
      <c r="V7" s="1067">
        <f>P7+(R7*12)</f>
        <v>6555241.2990084616</v>
      </c>
      <c r="W7" s="1068"/>
      <c r="X7" s="1069"/>
      <c r="Z7" s="861" t="s">
        <v>517</v>
      </c>
      <c r="AA7" s="883">
        <f>K6</f>
        <v>50</v>
      </c>
    </row>
    <row r="8" spans="3:33" ht="64.150000000000006" customHeight="1" thickTop="1" thickBot="1" x14ac:dyDescent="0.3">
      <c r="C8" s="197" t="s">
        <v>541</v>
      </c>
      <c r="D8" s="459">
        <v>1331466</v>
      </c>
      <c r="E8" s="463">
        <v>39250</v>
      </c>
      <c r="F8" s="464">
        <v>50</v>
      </c>
      <c r="G8" s="582">
        <v>1</v>
      </c>
      <c r="I8" s="994">
        <v>2028</v>
      </c>
      <c r="J8" s="995"/>
      <c r="K8" s="433">
        <v>50</v>
      </c>
      <c r="L8" s="432">
        <v>65</v>
      </c>
      <c r="M8" s="256">
        <v>1</v>
      </c>
      <c r="O8" s="872">
        <v>2028</v>
      </c>
      <c r="P8" s="1049">
        <f>'AYRINTILI BİLGİLER'!F16</f>
        <v>6934883.1466754535</v>
      </c>
      <c r="Q8" s="1050"/>
      <c r="R8" s="973">
        <f>'AYRINTILI BİLGİLER'!H16</f>
        <v>166437.59174750399</v>
      </c>
      <c r="S8" s="974"/>
      <c r="T8" s="980">
        <f>'AYRINTILI BİLGİLER'!A16</f>
        <v>0.36195372715334334</v>
      </c>
      <c r="U8" s="981"/>
      <c r="V8" s="977">
        <f>P8+(R8*12)</f>
        <v>8932134.247645501</v>
      </c>
      <c r="W8" s="978"/>
      <c r="X8" s="979"/>
      <c r="Z8" s="861" t="s">
        <v>524</v>
      </c>
      <c r="AA8" s="883">
        <f>E9</f>
        <v>53694</v>
      </c>
    </row>
    <row r="9" spans="3:33" ht="60" customHeight="1" thickTop="1" thickBot="1" x14ac:dyDescent="0.3">
      <c r="C9" s="197" t="s">
        <v>542</v>
      </c>
      <c r="D9" s="463">
        <v>1981635.34</v>
      </c>
      <c r="E9" s="865">
        <v>53694</v>
      </c>
      <c r="O9" s="1041" t="s">
        <v>527</v>
      </c>
      <c r="P9" s="1041"/>
      <c r="Q9" s="1041"/>
      <c r="R9" s="1041"/>
      <c r="S9" s="1041"/>
      <c r="T9" s="1041"/>
      <c r="U9" s="1041"/>
      <c r="Z9" s="861" t="s">
        <v>555</v>
      </c>
      <c r="AA9" s="883">
        <f>E10</f>
        <v>56785.19</v>
      </c>
    </row>
    <row r="10" spans="3:33" ht="65.45" customHeight="1" thickTop="1" thickBot="1" x14ac:dyDescent="0.3">
      <c r="C10" s="874" t="s">
        <v>543</v>
      </c>
      <c r="D10" s="875">
        <v>2622085.86</v>
      </c>
      <c r="E10" s="875">
        <v>56785.19</v>
      </c>
      <c r="J10" s="1064" t="s">
        <v>537</v>
      </c>
      <c r="K10" s="1065"/>
      <c r="L10" s="1065"/>
      <c r="M10" s="1065"/>
      <c r="N10" s="1066"/>
      <c r="O10" s="1042" t="s">
        <v>241</v>
      </c>
      <c r="P10" s="1043"/>
      <c r="Q10" s="1043"/>
      <c r="R10" s="1043"/>
      <c r="S10" s="1043"/>
      <c r="T10" s="1043"/>
      <c r="U10" s="1044"/>
      <c r="Z10" s="861" t="s">
        <v>556</v>
      </c>
      <c r="AA10" s="883">
        <f>R6</f>
        <v>95370.495949100063</v>
      </c>
    </row>
    <row r="11" spans="3:33" ht="48.6" customHeight="1" thickTop="1" thickBot="1" x14ac:dyDescent="0.3">
      <c r="C11" s="874" t="s">
        <v>557</v>
      </c>
      <c r="D11" s="875" t="s">
        <v>490</v>
      </c>
      <c r="E11" s="875" t="s">
        <v>490</v>
      </c>
      <c r="J11" s="1072" t="s">
        <v>529</v>
      </c>
      <c r="K11" s="1073"/>
      <c r="L11" s="1073"/>
      <c r="M11" s="457" t="s">
        <v>235</v>
      </c>
      <c r="N11" s="877" t="s">
        <v>240</v>
      </c>
      <c r="O11" s="1045"/>
      <c r="P11" s="1045"/>
      <c r="Q11" s="1045"/>
      <c r="R11" s="1045"/>
      <c r="S11" s="1045"/>
      <c r="T11" s="1045"/>
      <c r="U11" s="1046"/>
      <c r="V11" s="1039"/>
      <c r="W11" s="1040"/>
      <c r="Z11" s="861" t="s">
        <v>532</v>
      </c>
      <c r="AA11" s="883">
        <f>'5 YILLIK GELECEĞİ PLANLAMA '!P44</f>
        <v>1144445.9513892008</v>
      </c>
      <c r="AC11" s="832"/>
      <c r="AD11" s="832"/>
      <c r="AE11" s="832"/>
      <c r="AF11" s="832"/>
      <c r="AG11" s="832"/>
    </row>
    <row r="12" spans="3:33" ht="48.6" customHeight="1" thickTop="1" thickBot="1" x14ac:dyDescent="0.5">
      <c r="C12" s="1077" t="s">
        <v>551</v>
      </c>
      <c r="D12" s="1077"/>
      <c r="E12" s="894">
        <f>L6</f>
        <v>75</v>
      </c>
      <c r="I12" s="465"/>
      <c r="J12" s="959">
        <f>P5</f>
        <v>2622042.2999212435</v>
      </c>
      <c r="K12" s="960"/>
      <c r="L12" s="862" t="s">
        <v>129</v>
      </c>
      <c r="M12" s="458">
        <f>P5-D10</f>
        <v>-43.560078756418079</v>
      </c>
      <c r="N12" s="891">
        <f>1+(M12/D10)</f>
        <v>0.99998338724165337</v>
      </c>
      <c r="O12" s="1045"/>
      <c r="P12" s="1045"/>
      <c r="Q12" s="1045"/>
      <c r="R12" s="1045"/>
      <c r="S12" s="1045"/>
      <c r="T12" s="1045"/>
      <c r="U12" s="1046"/>
      <c r="V12" s="1039"/>
      <c r="W12" s="1040"/>
      <c r="Z12" s="861" t="s">
        <v>531</v>
      </c>
      <c r="AA12" s="883">
        <f>P6</f>
        <v>3638867.3462584633</v>
      </c>
    </row>
    <row r="13" spans="3:33" ht="55.15" customHeight="1" thickTop="1" thickBot="1" x14ac:dyDescent="0.3">
      <c r="C13" s="1078" t="s">
        <v>552</v>
      </c>
      <c r="D13" s="1079"/>
      <c r="E13" s="873">
        <f>('AYRINTILI BİLGİLER'!P14/'AYRINTILI BİLGİLER'!T14)</f>
        <v>3.7691075828987812E-3</v>
      </c>
      <c r="J13" s="959">
        <f>R5</f>
        <v>56780.967774334131</v>
      </c>
      <c r="K13" s="960"/>
      <c r="L13" s="863" t="s">
        <v>134</v>
      </c>
      <c r="M13" s="833">
        <f>J13-E10</f>
        <v>-4.2222256658715196</v>
      </c>
      <c r="N13" s="891">
        <f>1+(M13/E10)</f>
        <v>0.99992564565398356</v>
      </c>
      <c r="O13" s="1047"/>
      <c r="P13" s="1047"/>
      <c r="Q13" s="1047"/>
      <c r="R13" s="1047"/>
      <c r="S13" s="1047"/>
      <c r="T13" s="1047"/>
      <c r="U13" s="1048"/>
      <c r="Z13" s="861" t="s">
        <v>520</v>
      </c>
      <c r="AA13" s="883">
        <f>'5 YILLIK GELECEĞİ PLANLAMA '!P37</f>
        <v>2214901.8082970832</v>
      </c>
    </row>
    <row r="14" spans="3:33" ht="40.9" customHeight="1" thickTop="1" thickBot="1" x14ac:dyDescent="0.3">
      <c r="C14" s="1080" t="s">
        <v>553</v>
      </c>
      <c r="D14" s="1080"/>
      <c r="E14" s="873">
        <f>('AYRINTILI BİLGİLER'!Q14/'AYRINTILI BİLGİLER'!T14)</f>
        <v>1.966521981735174E-2</v>
      </c>
      <c r="I14" s="343"/>
      <c r="Z14" s="861" t="s">
        <v>521</v>
      </c>
      <c r="AA14" s="883">
        <f>'5 YILLIK GELECEĞİ PLANLAMA '!P41</f>
        <v>2145836.1588547514</v>
      </c>
      <c r="AB14" s="866" t="s">
        <v>535</v>
      </c>
      <c r="AC14" s="866" t="s">
        <v>536</v>
      </c>
    </row>
    <row r="15" spans="3:33" ht="50.45" customHeight="1" thickTop="1" thickBot="1" x14ac:dyDescent="0.45">
      <c r="C15" s="1077" t="s">
        <v>554</v>
      </c>
      <c r="D15" s="1077"/>
      <c r="E15" s="894">
        <f>('AYRINTILI BİLGİLER'!O14/'AYRINTILI BİLGİLER'!T14)*100</f>
        <v>72.809316208466328</v>
      </c>
      <c r="F15" s="895">
        <f>(E15/E12)*100</f>
        <v>97.079088277955108</v>
      </c>
      <c r="J15" s="1064" t="s">
        <v>558</v>
      </c>
      <c r="K15" s="1065"/>
      <c r="L15" s="1065"/>
      <c r="M15" s="1065"/>
      <c r="N15" s="1066"/>
      <c r="Q15" s="466"/>
      <c r="Z15" s="878" t="s">
        <v>108</v>
      </c>
      <c r="AA15" s="886">
        <f>'5 YILLIK GELECEĞİ PLANLAMA '!P39</f>
        <v>57957.335617709774</v>
      </c>
      <c r="AB15" s="884">
        <f>'AYRINTILI BİLGİLER'!Q13</f>
        <v>33832.326983776235</v>
      </c>
      <c r="AC15" s="885">
        <f>(AA15-AB15)/AB15</f>
        <v>0.71307565233400327</v>
      </c>
    </row>
    <row r="16" spans="3:33" ht="69.599999999999994" customHeight="1" thickTop="1" thickBot="1" x14ac:dyDescent="0.3">
      <c r="C16" s="961" t="s">
        <v>522</v>
      </c>
      <c r="D16" s="961"/>
      <c r="E16" s="876">
        <f>AA19</f>
        <v>0.67962082520560685</v>
      </c>
      <c r="J16" s="1072" t="s">
        <v>559</v>
      </c>
      <c r="K16" s="1073"/>
      <c r="L16" s="1073"/>
      <c r="M16" s="457" t="s">
        <v>235</v>
      </c>
      <c r="N16" s="877" t="s">
        <v>240</v>
      </c>
      <c r="Z16" s="878" t="s">
        <v>107</v>
      </c>
      <c r="AA16" s="886">
        <f>'5 YILLIK GELECEĞİ PLANLAMA '!P38</f>
        <v>11108.313824622035</v>
      </c>
      <c r="AB16" s="884">
        <f>'AYRINTILI BİLGİLER'!P13</f>
        <v>9547.8006007782606</v>
      </c>
      <c r="AC16" s="885">
        <f>(AA16-AB16)/AB16</f>
        <v>0.16344216737376918</v>
      </c>
    </row>
    <row r="17" spans="3:29" ht="61.9" customHeight="1" thickTop="1" thickBot="1" x14ac:dyDescent="0.4">
      <c r="C17" s="963" t="s">
        <v>561</v>
      </c>
      <c r="D17" s="963"/>
      <c r="E17" s="963"/>
      <c r="F17" s="963"/>
      <c r="G17" s="962">
        <f>(((1+(E15/100))/1.309)-1)</f>
        <v>0.32016284345658019</v>
      </c>
      <c r="J17" s="959">
        <f>P6</f>
        <v>3638867.3462584633</v>
      </c>
      <c r="K17" s="960"/>
      <c r="L17" s="862" t="s">
        <v>129</v>
      </c>
      <c r="M17" s="458" t="e">
        <f>P6-D11</f>
        <v>#VALUE!</v>
      </c>
      <c r="N17" s="867" t="e">
        <f>1+(M17/D11)</f>
        <v>#VALUE!</v>
      </c>
      <c r="Q17" s="898"/>
      <c r="Z17" s="879" t="s">
        <v>533</v>
      </c>
      <c r="AA17" s="887">
        <f>AA15+AA16</f>
        <v>69065.649442331807</v>
      </c>
      <c r="AB17" s="884">
        <f>AB15+AB16</f>
        <v>43380.127584554495</v>
      </c>
      <c r="AC17" s="885">
        <f>(AA17-AA18)/AA18</f>
        <v>0.59210341896095875</v>
      </c>
    </row>
    <row r="18" spans="3:29" ht="63.6" customHeight="1" thickTop="1" thickBot="1" x14ac:dyDescent="0.5">
      <c r="C18" s="963"/>
      <c r="D18" s="963"/>
      <c r="E18" s="963"/>
      <c r="F18" s="963"/>
      <c r="G18" s="962"/>
      <c r="J18" s="959">
        <f>R6</f>
        <v>95370.495949100063</v>
      </c>
      <c r="K18" s="960"/>
      <c r="L18" s="863" t="s">
        <v>134</v>
      </c>
      <c r="M18" s="833" t="e">
        <f>J18-E11</f>
        <v>#VALUE!</v>
      </c>
      <c r="N18" s="867" t="e">
        <f>1+(M18/E11)</f>
        <v>#VALUE!</v>
      </c>
      <c r="Q18" s="466"/>
      <c r="Z18" s="861" t="s">
        <v>534</v>
      </c>
      <c r="AA18" s="883">
        <f>'AYRINTILI BİLGİLER'!R13</f>
        <v>43380.127584554495</v>
      </c>
      <c r="AC18" s="311"/>
    </row>
    <row r="19" spans="3:29" ht="51" customHeight="1" thickTop="1" thickBot="1" x14ac:dyDescent="0.3">
      <c r="C19" s="1076" t="s">
        <v>564</v>
      </c>
      <c r="D19" s="1076"/>
      <c r="E19" s="1076"/>
      <c r="F19" s="1076"/>
      <c r="G19" s="899">
        <f>(((1+(E15/100))/1.3768)-1)</f>
        <v>0.25515191900396816</v>
      </c>
      <c r="Z19" s="861" t="s">
        <v>546</v>
      </c>
      <c r="AA19" s="882">
        <f>(R6-R5)/R5</f>
        <v>0.67962082520560685</v>
      </c>
    </row>
    <row r="20" spans="3:29" ht="57.6" customHeight="1" thickTop="1" thickBot="1" x14ac:dyDescent="0.3">
      <c r="C20" s="1060" t="s">
        <v>563</v>
      </c>
      <c r="D20" s="1060"/>
      <c r="E20" s="1060"/>
      <c r="F20" s="1061"/>
      <c r="G20" s="1059">
        <f>(((1+(E15/100))/1.561)-1)</f>
        <v>0.10704238442323089</v>
      </c>
    </row>
    <row r="21" spans="3:29" ht="16.5" thickTop="1" thickBot="1" x14ac:dyDescent="0.3">
      <c r="C21" s="1062"/>
      <c r="D21" s="1062"/>
      <c r="E21" s="1062"/>
      <c r="F21" s="1063"/>
      <c r="G21" s="1059"/>
    </row>
    <row r="22" spans="3:29" ht="15.75" thickTop="1" x14ac:dyDescent="0.25"/>
    <row r="24" spans="3:29" ht="10.9" customHeight="1" x14ac:dyDescent="0.25"/>
    <row r="25" spans="3:29" hidden="1" x14ac:dyDescent="0.25"/>
    <row r="26" spans="3:29" hidden="1" x14ac:dyDescent="0.25"/>
    <row r="27" spans="3:29" hidden="1" x14ac:dyDescent="0.25"/>
    <row r="28" spans="3:29" hidden="1" x14ac:dyDescent="0.25"/>
    <row r="29" spans="3:29" hidden="1" x14ac:dyDescent="0.25"/>
    <row r="30" spans="3:29" hidden="1" x14ac:dyDescent="0.25"/>
    <row r="31" spans="3:29" hidden="1" x14ac:dyDescent="0.25"/>
    <row r="32" spans="3:29" hidden="1" x14ac:dyDescent="0.25"/>
    <row r="33" ht="154.9" hidden="1" customHeight="1" x14ac:dyDescent="0.25"/>
    <row r="34" ht="154.9" hidden="1" customHeight="1" x14ac:dyDescent="0.25"/>
    <row r="35" ht="57" hidden="1" customHeight="1" x14ac:dyDescent="0.25"/>
    <row r="36" ht="54.6" hidden="1" customHeight="1" x14ac:dyDescent="0.25"/>
    <row r="37" ht="55.9" hidden="1" customHeight="1" x14ac:dyDescent="0.25"/>
    <row r="38" ht="56.45" hidden="1" customHeight="1" x14ac:dyDescent="0.25"/>
    <row r="39" ht="60" hidden="1" customHeight="1" x14ac:dyDescent="0.25"/>
    <row r="40" ht="60" hidden="1" customHeight="1" x14ac:dyDescent="0.25"/>
    <row r="41" ht="31.15" customHeight="1" x14ac:dyDescent="0.25"/>
    <row r="42" ht="60" hidden="1" customHeight="1" x14ac:dyDescent="0.25"/>
    <row r="43" ht="60" hidden="1" customHeight="1" x14ac:dyDescent="0.25"/>
    <row r="44" hidden="1" x14ac:dyDescent="0.25"/>
    <row r="45" ht="147" customHeight="1" x14ac:dyDescent="0.25"/>
    <row r="55" ht="87" customHeight="1" x14ac:dyDescent="0.25"/>
    <row r="56" ht="87" customHeight="1" x14ac:dyDescent="0.25"/>
  </sheetData>
  <protectedRanges>
    <protectedRange algorithmName="SHA-512" hashValue="FoJ+/l5eVT2EH6sboFJUmsbZnDfPg41GtrTE+eyAZCUgHRj19I5PF5dxv1QVaSj8e0VKp8XsolVTKHiNh7Qu5Q==" saltValue="3wSkbAgE+oTmOv51IwGFQQ==" spinCount="100000" sqref="I3:M7 M8 I2 K2:M2" name="GELECEK YILLAR TAHMİN GİRİŞİ"/>
    <protectedRange algorithmName="SHA-512" hashValue="8svjYRQU+h7AqANfAsob+TTuyu9f8UR9c7iConKLYtUQ2U5CQk0bpdJcbXSEkZ6TbBCRoWcuGeZzaOvr8Mqu3g==" saltValue="dO/BPRZ+T4i9pdz8MDnyaA==" spinCount="100000" sqref="G3:G7 G2:H2 D2:F5 C2:C3 F6:F7 C5:C11" name="GEÇMİŞ YILLAR VERİ GİRİŞİ"/>
    <protectedRange algorithmName="SHA-512" hashValue="8svjYRQU+h7AqANfAsob+TTuyu9f8UR9c7iConKLYtUQ2U5CQk0bpdJcbXSEkZ6TbBCRoWcuGeZzaOvr8Mqu3g==" saltValue="dO/BPRZ+T4i9pdz8MDnyaA==" spinCount="100000" sqref="D6:E6" name="GEÇMİŞ YILLAR VERİ GİRİŞİ_2"/>
    <protectedRange algorithmName="SHA-512" hashValue="8svjYRQU+h7AqANfAsob+TTuyu9f8UR9c7iConKLYtUQ2U5CQk0bpdJcbXSEkZ6TbBCRoWcuGeZzaOvr8Mqu3g==" saltValue="dO/BPRZ+T4i9pdz8MDnyaA==" spinCount="100000" sqref="D7:E7" name="GEÇMİŞ YILLAR VERİ GİRİŞİ_3"/>
  </protectedRanges>
  <mergeCells count="63">
    <mergeCell ref="G20:G21"/>
    <mergeCell ref="C20:F21"/>
    <mergeCell ref="J13:K13"/>
    <mergeCell ref="J10:N10"/>
    <mergeCell ref="V7:X7"/>
    <mergeCell ref="T7:U7"/>
    <mergeCell ref="J11:L11"/>
    <mergeCell ref="J12:K12"/>
    <mergeCell ref="I7:J7"/>
    <mergeCell ref="C19:F19"/>
    <mergeCell ref="C12:D12"/>
    <mergeCell ref="C13:D13"/>
    <mergeCell ref="C14:D14"/>
    <mergeCell ref="C15:D15"/>
    <mergeCell ref="J15:N15"/>
    <mergeCell ref="J16:L16"/>
    <mergeCell ref="V6:X6"/>
    <mergeCell ref="T6:U6"/>
    <mergeCell ref="V11:W12"/>
    <mergeCell ref="O9:U9"/>
    <mergeCell ref="O10:U13"/>
    <mergeCell ref="P8:Q8"/>
    <mergeCell ref="P6:Q6"/>
    <mergeCell ref="R6:S6"/>
    <mergeCell ref="P7:Q7"/>
    <mergeCell ref="R7:S7"/>
    <mergeCell ref="P5:Q5"/>
    <mergeCell ref="M2:M3"/>
    <mergeCell ref="O2:X2"/>
    <mergeCell ref="V3:X3"/>
    <mergeCell ref="V4:X4"/>
    <mergeCell ref="T3:U3"/>
    <mergeCell ref="P3:Q3"/>
    <mergeCell ref="R3:S3"/>
    <mergeCell ref="T4:U4"/>
    <mergeCell ref="P4:Q4"/>
    <mergeCell ref="R4:S4"/>
    <mergeCell ref="I4:J4"/>
    <mergeCell ref="I5:J5"/>
    <mergeCell ref="F3:F5"/>
    <mergeCell ref="D3:D5"/>
    <mergeCell ref="I6:J6"/>
    <mergeCell ref="Z2:AA2"/>
    <mergeCell ref="Z3:AA3"/>
    <mergeCell ref="C3:C5"/>
    <mergeCell ref="E3:E5"/>
    <mergeCell ref="R8:S8"/>
    <mergeCell ref="R5:S5"/>
    <mergeCell ref="V8:X8"/>
    <mergeCell ref="T8:U8"/>
    <mergeCell ref="V5:X5"/>
    <mergeCell ref="T5:U5"/>
    <mergeCell ref="K2:K3"/>
    <mergeCell ref="L2:L3"/>
    <mergeCell ref="D2:G2"/>
    <mergeCell ref="I8:J8"/>
    <mergeCell ref="I2:J3"/>
    <mergeCell ref="G3:G6"/>
    <mergeCell ref="J17:K17"/>
    <mergeCell ref="J18:K18"/>
    <mergeCell ref="C16:D16"/>
    <mergeCell ref="G17:G18"/>
    <mergeCell ref="C17:F18"/>
  </mergeCells>
  <hyperlinks>
    <hyperlink ref="O9" r:id="rId1"/>
  </hyperlinks>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29"/>
  <sheetViews>
    <sheetView zoomScale="37" zoomScaleNormal="37" workbookViewId="0">
      <selection activeCell="C18" sqref="C18:R22"/>
    </sheetView>
  </sheetViews>
  <sheetFormatPr defaultRowHeight="15" x14ac:dyDescent="0.25"/>
  <cols>
    <col min="3" max="3" width="23.42578125" customWidth="1"/>
    <col min="4" max="4" width="22" customWidth="1"/>
    <col min="5" max="5" width="15.85546875" customWidth="1"/>
    <col min="6" max="6" width="18.140625" customWidth="1"/>
    <col min="7" max="7" width="16.7109375" customWidth="1"/>
    <col min="8" max="8" width="35.5703125" customWidth="1"/>
    <col min="10" max="10" width="22.5703125" customWidth="1"/>
    <col min="11" max="11" width="20.7109375" customWidth="1"/>
    <col min="12" max="12" width="22.28515625" customWidth="1"/>
    <col min="13" max="13" width="19" customWidth="1"/>
    <col min="14" max="14" width="40.5703125" customWidth="1"/>
    <col min="15" max="15" width="27" customWidth="1"/>
    <col min="16" max="16" width="26.140625" customWidth="1"/>
    <col min="17" max="17" width="25.5703125" customWidth="1"/>
    <col min="18" max="18" width="22.7109375" customWidth="1"/>
    <col min="19" max="19" width="17.85546875" customWidth="1"/>
    <col min="20" max="20" width="17.7109375" customWidth="1"/>
    <col min="21" max="21" width="18.28515625" customWidth="1"/>
    <col min="22" max="22" width="20.85546875" customWidth="1"/>
    <col min="23" max="23" width="19" customWidth="1"/>
    <col min="24" max="24" width="21" customWidth="1"/>
    <col min="25" max="25" width="22.5703125" customWidth="1"/>
    <col min="26" max="26" width="17.28515625" customWidth="1"/>
    <col min="29" max="29" width="14.42578125" customWidth="1"/>
    <col min="34" max="34" width="22.28515625" customWidth="1"/>
    <col min="35" max="35" width="27.85546875" customWidth="1"/>
    <col min="36" max="36" width="25.85546875" customWidth="1"/>
    <col min="37" max="37" width="18.28515625" customWidth="1"/>
    <col min="38" max="38" width="6.5703125" customWidth="1"/>
  </cols>
  <sheetData>
    <row r="1" spans="1:41" ht="7.9" customHeight="1" thickBot="1" x14ac:dyDescent="0.3"/>
    <row r="2" spans="1:41" ht="118.9" hidden="1" customHeight="1" thickTop="1" thickBot="1" x14ac:dyDescent="0.3">
      <c r="C2" s="455" t="s">
        <v>121</v>
      </c>
      <c r="D2" s="1104" t="s">
        <v>242</v>
      </c>
      <c r="E2" s="1105"/>
      <c r="F2" s="1105"/>
      <c r="G2" s="1106"/>
      <c r="H2" s="1107"/>
      <c r="J2" s="1148" t="s">
        <v>243</v>
      </c>
      <c r="K2" s="1149"/>
      <c r="L2" s="435" t="s">
        <v>79</v>
      </c>
      <c r="M2" s="434" t="s">
        <v>236</v>
      </c>
      <c r="N2" s="436" t="s">
        <v>244</v>
      </c>
      <c r="P2" s="1108" t="s">
        <v>143</v>
      </c>
      <c r="Q2" s="1109"/>
      <c r="R2" s="1112" t="s">
        <v>125</v>
      </c>
      <c r="S2" s="1113"/>
      <c r="T2" s="1093" t="s">
        <v>144</v>
      </c>
      <c r="U2" s="1094"/>
      <c r="W2" s="1099" t="s">
        <v>147</v>
      </c>
      <c r="X2" s="1100"/>
    </row>
    <row r="3" spans="1:41" ht="62.45" hidden="1" customHeight="1" thickTop="1" thickBot="1" x14ac:dyDescent="0.75">
      <c r="C3" s="1082" t="str">
        <f>'BAŞ SAYFA'!C3</f>
        <v>ÖRNEK ÜYE</v>
      </c>
      <c r="D3" s="1116" t="s">
        <v>126</v>
      </c>
      <c r="E3" s="1117" t="s">
        <v>145</v>
      </c>
      <c r="F3" s="1119" t="s">
        <v>127</v>
      </c>
      <c r="G3" s="1170" t="s">
        <v>237</v>
      </c>
      <c r="H3" s="1176" t="s">
        <v>245</v>
      </c>
      <c r="J3" s="1172">
        <v>2023</v>
      </c>
      <c r="K3" s="1173"/>
      <c r="L3" s="440">
        <f>'BAŞ SAYFA'!F8</f>
        <v>50</v>
      </c>
      <c r="M3" s="441">
        <v>90.1</v>
      </c>
      <c r="N3" s="442">
        <f>'BAŞ SAYFA'!G8</f>
        <v>1</v>
      </c>
      <c r="P3" s="1110"/>
      <c r="Q3" s="1111"/>
      <c r="R3" s="1114"/>
      <c r="S3" s="1115"/>
      <c r="T3" s="1095"/>
      <c r="U3" s="1096"/>
      <c r="W3" s="1101">
        <f>E5</f>
        <v>0</v>
      </c>
      <c r="X3" s="1101"/>
    </row>
    <row r="4" spans="1:41" ht="202.9" hidden="1" customHeight="1" thickTop="1" thickBot="1" x14ac:dyDescent="0.5">
      <c r="C4" s="1083"/>
      <c r="D4" s="1116"/>
      <c r="E4" s="1118"/>
      <c r="F4" s="1120"/>
      <c r="G4" s="1171"/>
      <c r="H4" s="1177"/>
      <c r="J4" s="1174">
        <v>2024</v>
      </c>
      <c r="K4" s="1175"/>
      <c r="L4" s="443">
        <f>'BAŞ SAYFA'!K4</f>
        <v>50</v>
      </c>
      <c r="M4" s="444">
        <f>'BAŞ SAYFA'!L4</f>
        <v>77.099999999999994</v>
      </c>
      <c r="N4" s="445">
        <f>'BAŞ SAYFA'!M4</f>
        <v>1</v>
      </c>
      <c r="O4" s="1150">
        <f>' 2022 KONTROL SEKMESİ'!D34</f>
        <v>1113817.6038663988</v>
      </c>
      <c r="P4" s="388" t="s">
        <v>129</v>
      </c>
      <c r="Q4" s="254">
        <f>' 2022 KONTROL SEKMESİ'!D33</f>
        <v>1113817.6038663988</v>
      </c>
      <c r="R4" s="255">
        <f>Q4-D7</f>
        <v>282551.6038663988</v>
      </c>
      <c r="S4" s="389" t="s">
        <v>66</v>
      </c>
      <c r="T4" s="1097">
        <f>D7+(12*E7)</f>
        <v>1099898</v>
      </c>
      <c r="U4" s="1098"/>
      <c r="W4" s="311"/>
    </row>
    <row r="5" spans="1:41" ht="168.6" hidden="1" customHeight="1" thickTop="1" thickBot="1" x14ac:dyDescent="0.3">
      <c r="C5" s="194" t="s">
        <v>141</v>
      </c>
      <c r="D5" s="195">
        <v>0</v>
      </c>
      <c r="E5" s="195">
        <f>'BAŞ SAYFA'!E5</f>
        <v>0</v>
      </c>
      <c r="F5" s="136"/>
      <c r="G5" s="454">
        <v>20.5</v>
      </c>
      <c r="H5" s="1178"/>
      <c r="J5" s="1172">
        <v>2025</v>
      </c>
      <c r="K5" s="1173"/>
      <c r="L5" s="437">
        <f>'BAŞ SAYFA'!K5</f>
        <v>50</v>
      </c>
      <c r="M5" s="438">
        <f>'BAŞ SAYFA'!L5</f>
        <v>55.2</v>
      </c>
      <c r="N5" s="439">
        <f>'BAŞ SAYFA'!M5</f>
        <v>1</v>
      </c>
      <c r="O5" s="1151"/>
      <c r="P5" s="390" t="s">
        <v>134</v>
      </c>
      <c r="Q5" s="391">
        <f>' 2022 KONTROL SEKMESİ'!D30</f>
        <v>0</v>
      </c>
      <c r="R5" s="392">
        <f>Q5-E7</f>
        <v>-22386</v>
      </c>
      <c r="S5" s="393" t="s">
        <v>66</v>
      </c>
      <c r="T5" s="1102" t="s">
        <v>230</v>
      </c>
      <c r="U5" s="1102"/>
      <c r="V5" s="1102"/>
      <c r="W5" s="1102"/>
      <c r="X5" s="1102"/>
      <c r="Y5" s="1103"/>
      <c r="Z5" s="1084" t="s">
        <v>73</v>
      </c>
      <c r="AA5" s="1085"/>
      <c r="AB5" s="1085"/>
      <c r="AC5" s="1086" t="s">
        <v>182</v>
      </c>
      <c r="AD5" s="1086"/>
      <c r="AE5" s="1086"/>
    </row>
    <row r="6" spans="1:41" ht="100.9" hidden="1" customHeight="1" thickTop="1" thickBot="1" x14ac:dyDescent="0.3">
      <c r="C6" s="196" t="s">
        <v>128</v>
      </c>
      <c r="D6" s="195">
        <f>'BAŞ SAYFA'!D6</f>
        <v>562162</v>
      </c>
      <c r="E6" s="195">
        <f>'BAŞ SAYFA'!E6</f>
        <v>6641</v>
      </c>
      <c r="F6" s="195">
        <f>'BAŞ SAYFA'!F6</f>
        <v>50</v>
      </c>
      <c r="G6" s="195">
        <v>27.2</v>
      </c>
      <c r="H6" s="1179"/>
      <c r="J6" s="1180">
        <v>2026</v>
      </c>
      <c r="K6" s="1181"/>
      <c r="L6" s="446">
        <f>'BAŞ SAYFA'!K6</f>
        <v>50</v>
      </c>
      <c r="M6" s="447">
        <f>'BAŞ SAYFA'!L6</f>
        <v>75</v>
      </c>
      <c r="N6" s="448">
        <f>'BAŞ SAYFA'!M6</f>
        <v>1</v>
      </c>
      <c r="O6" s="1126">
        <f>'5 YILLIK GELECEĞİ PLANLAMA '!E47</f>
        <v>1802342.1229233784</v>
      </c>
      <c r="P6" s="394" t="s">
        <v>202</v>
      </c>
      <c r="Q6" s="395">
        <f>F11</f>
        <v>1331406.5414027721</v>
      </c>
      <c r="R6" s="396">
        <f>Q6-U6</f>
        <v>-59.458597227931023</v>
      </c>
      <c r="S6" s="397" t="s">
        <v>66</v>
      </c>
      <c r="T6" s="1136">
        <v>2023</v>
      </c>
      <c r="U6" s="1138">
        <f>'BAŞ SAYFA'!D8</f>
        <v>1331466</v>
      </c>
      <c r="V6" s="1139"/>
      <c r="W6" s="293" t="s">
        <v>129</v>
      </c>
      <c r="X6" s="295">
        <f>'BAŞ SAYFA'!D8-F11</f>
        <v>59.458597227931023</v>
      </c>
      <c r="Y6" s="1142" t="s">
        <v>182</v>
      </c>
      <c r="Z6" s="1128">
        <f>U6+(U7*12)</f>
        <v>1802466</v>
      </c>
      <c r="AA6" s="1129"/>
      <c r="AB6" s="1129"/>
      <c r="AC6" s="1089">
        <f>O6-Z6</f>
        <v>-123.87707662163302</v>
      </c>
      <c r="AD6" s="1090"/>
      <c r="AE6" s="1090"/>
      <c r="AH6" s="1121">
        <f>'5 YILLIK GELECEĞİ PLANLAMA '!D47</f>
        <v>1800878.8563569183</v>
      </c>
      <c r="AI6" s="345" t="s">
        <v>203</v>
      </c>
      <c r="AJ6" s="346">
        <f>'5 YILLIK GELECEĞİ PLANLAMA '!D46</f>
        <v>1329935.0990117926</v>
      </c>
      <c r="AK6" s="347">
        <f>AJ6-U6</f>
        <v>-1530.9009882074315</v>
      </c>
      <c r="AL6" s="348" t="s">
        <v>66</v>
      </c>
      <c r="AM6" s="1090">
        <f>AH6-Z6</f>
        <v>-1587.1436430816539</v>
      </c>
      <c r="AN6" s="1090"/>
      <c r="AO6" s="1090"/>
    </row>
    <row r="7" spans="1:41" ht="123" hidden="1" customHeight="1" thickTop="1" thickBot="1" x14ac:dyDescent="0.3">
      <c r="C7" s="197" t="s">
        <v>142</v>
      </c>
      <c r="D7" s="195">
        <f>'BAŞ SAYFA'!D7</f>
        <v>831266</v>
      </c>
      <c r="E7" s="195">
        <f>'BAŞ SAYFA'!E7</f>
        <v>22386</v>
      </c>
      <c r="F7" s="195">
        <f>'BAŞ SAYFA'!F7</f>
        <v>50</v>
      </c>
      <c r="G7" s="195">
        <v>83.5</v>
      </c>
      <c r="H7" s="453">
        <f>'BAŞ SAYFA'!G7</f>
        <v>0</v>
      </c>
      <c r="J7" s="1132">
        <v>2027</v>
      </c>
      <c r="K7" s="1133"/>
      <c r="L7" s="443">
        <f>'BAŞ SAYFA'!K7</f>
        <v>50</v>
      </c>
      <c r="M7" s="449">
        <f>'BAŞ SAYFA'!L7</f>
        <v>65</v>
      </c>
      <c r="N7" s="450">
        <f>'BAŞ SAYFA'!M7</f>
        <v>1</v>
      </c>
      <c r="O7" s="1127"/>
      <c r="P7" s="398" t="s">
        <v>134</v>
      </c>
      <c r="Q7" s="387">
        <f>H11</f>
        <v>39244.631793383865</v>
      </c>
      <c r="R7" s="292">
        <f>Q7-U7</f>
        <v>-5.3682066161345574</v>
      </c>
      <c r="S7" s="399" t="s">
        <v>66</v>
      </c>
      <c r="T7" s="1137"/>
      <c r="U7" s="1140">
        <f>'BAŞ SAYFA'!E8</f>
        <v>39250</v>
      </c>
      <c r="V7" s="1141"/>
      <c r="W7" s="294" t="s">
        <v>134</v>
      </c>
      <c r="X7" s="314">
        <f>'BAŞ SAYFA'!E8-H11</f>
        <v>5.3682066161345574</v>
      </c>
      <c r="Y7" s="1143"/>
      <c r="Z7" s="1130"/>
      <c r="AA7" s="1131"/>
      <c r="AB7" s="1131"/>
      <c r="AC7" s="1091"/>
      <c r="AD7" s="1092"/>
      <c r="AE7" s="1092"/>
      <c r="AH7" s="1122"/>
      <c r="AI7" s="290" t="s">
        <v>134</v>
      </c>
      <c r="AJ7" s="291">
        <f>'5 YILLIK GELECEĞİ PLANLAMA '!D43</f>
        <v>39245.31311209382</v>
      </c>
      <c r="AK7" s="349">
        <f>AJ7-U7</f>
        <v>-4.6868879061803455</v>
      </c>
      <c r="AL7" s="350" t="s">
        <v>66</v>
      </c>
      <c r="AM7" s="1091"/>
      <c r="AN7" s="1092"/>
      <c r="AO7" s="1092"/>
    </row>
    <row r="8" spans="1:41" ht="157.15" hidden="1" customHeight="1" thickTop="1" thickBot="1" x14ac:dyDescent="0.55000000000000004">
      <c r="C8" s="198"/>
      <c r="J8" s="1087">
        <v>2028</v>
      </c>
      <c r="K8" s="1088"/>
      <c r="L8" s="446">
        <f>'BAŞ SAYFA'!K8</f>
        <v>50</v>
      </c>
      <c r="M8" s="451">
        <f>'BAŞ SAYFA'!L8</f>
        <v>65</v>
      </c>
      <c r="N8" s="452">
        <f>'BAŞ SAYFA'!M8</f>
        <v>1</v>
      </c>
      <c r="P8" s="1214" t="s">
        <v>229</v>
      </c>
      <c r="Q8" s="1215"/>
      <c r="R8" s="1216" t="s">
        <v>125</v>
      </c>
      <c r="S8" s="1217"/>
      <c r="Y8" s="296"/>
      <c r="AH8" s="343"/>
      <c r="AM8" s="344"/>
    </row>
    <row r="9" spans="1:41" ht="61.9" customHeight="1" thickBot="1" x14ac:dyDescent="0.3">
      <c r="C9" s="1166" t="s">
        <v>538</v>
      </c>
      <c r="D9" s="1167"/>
      <c r="E9" s="1167"/>
      <c r="F9" s="1167"/>
      <c r="G9" s="1167"/>
      <c r="H9" s="1168"/>
      <c r="I9" s="1169"/>
      <c r="J9" s="1134" t="str">
        <f>C3</f>
        <v>ÖRNEK ÜYE</v>
      </c>
      <c r="K9" s="1135"/>
      <c r="L9" s="1135"/>
      <c r="M9" s="1135"/>
      <c r="N9" s="1135"/>
      <c r="O9" s="235" t="s">
        <v>550</v>
      </c>
      <c r="P9" s="236"/>
      <c r="Q9" s="236"/>
      <c r="R9" s="236"/>
      <c r="S9" s="236"/>
      <c r="T9" s="236"/>
      <c r="U9" s="236"/>
      <c r="V9" s="236"/>
      <c r="W9" s="236"/>
      <c r="X9" s="236"/>
      <c r="Y9" s="236"/>
      <c r="Z9" s="236"/>
      <c r="AA9" s="236"/>
      <c r="AB9" s="236"/>
      <c r="AC9" s="236"/>
    </row>
    <row r="10" spans="1:41" ht="120" customHeight="1" thickTop="1" thickBot="1" x14ac:dyDescent="0.3">
      <c r="A10" s="1192" t="s">
        <v>187</v>
      </c>
      <c r="B10" s="1193"/>
      <c r="C10" s="1194" t="s">
        <v>97</v>
      </c>
      <c r="D10" s="1195"/>
      <c r="E10" s="1195"/>
      <c r="F10" s="1144" t="s">
        <v>129</v>
      </c>
      <c r="G10" s="1145"/>
      <c r="H10" s="1146" t="s">
        <v>37</v>
      </c>
      <c r="I10" s="1147"/>
      <c r="J10" s="379" t="s">
        <v>223</v>
      </c>
      <c r="K10" s="199" t="s">
        <v>97</v>
      </c>
      <c r="L10" s="229" t="s">
        <v>110</v>
      </c>
      <c r="M10" s="230" t="s">
        <v>111</v>
      </c>
      <c r="N10" s="242" t="s">
        <v>73</v>
      </c>
      <c r="O10" s="423" t="s">
        <v>109</v>
      </c>
      <c r="P10" s="232" t="s">
        <v>107</v>
      </c>
      <c r="Q10" s="231" t="s">
        <v>108</v>
      </c>
      <c r="R10" s="233" t="s">
        <v>6</v>
      </c>
      <c r="S10" s="232" t="s">
        <v>82</v>
      </c>
      <c r="T10" s="386" t="s">
        <v>130</v>
      </c>
      <c r="U10" s="384" t="s">
        <v>131</v>
      </c>
      <c r="V10" s="385" t="s">
        <v>132</v>
      </c>
      <c r="W10" s="385" t="s">
        <v>133</v>
      </c>
      <c r="X10" s="379" t="s">
        <v>228</v>
      </c>
      <c r="Y10" s="247" t="s">
        <v>97</v>
      </c>
      <c r="Z10" s="1210" t="s">
        <v>139</v>
      </c>
      <c r="AA10" s="1211"/>
      <c r="AB10" s="1212" t="s">
        <v>140</v>
      </c>
      <c r="AC10" s="1213"/>
    </row>
    <row r="11" spans="1:41" ht="48" thickTop="1" thickBot="1" x14ac:dyDescent="0.3">
      <c r="A11" s="1152">
        <f>'5 YILLIK GELECEĞİ PLANLAMA '!C43</f>
        <v>0.7531186059186018</v>
      </c>
      <c r="B11" s="1152"/>
      <c r="C11" s="1200">
        <v>2023</v>
      </c>
      <c r="D11" s="1201"/>
      <c r="E11" s="1202"/>
      <c r="F11" s="1196">
        <f>'5 YILLIK GELECEĞİ PLANLAMA '!E46</f>
        <v>1331406.5414027721</v>
      </c>
      <c r="G11" s="1197"/>
      <c r="H11" s="1198">
        <f>'5 YILLIK GELECEĞİ PLANLAMA '!E43</f>
        <v>39244.631793383865</v>
      </c>
      <c r="I11" s="1199"/>
      <c r="J11" s="776">
        <f t="shared" ref="J11:J16" si="0">M3</f>
        <v>90.1</v>
      </c>
      <c r="K11" s="250">
        <v>2023</v>
      </c>
      <c r="L11" s="248">
        <f>'5 YILLIK YENİ MAAŞ VE REZERV '!G5</f>
        <v>470935.58152060641</v>
      </c>
      <c r="M11" s="422">
        <f>'5 YILLIK YENİ MAAŞ VE REZERV '!H5</f>
        <v>421415.54140277195</v>
      </c>
      <c r="N11" s="237">
        <f>'5 YILLIK GELECEĞİ PLANLAMA '!E47</f>
        <v>1802342.1229233784</v>
      </c>
      <c r="O11" s="413">
        <f>'5 YILLIK YENİ MAAŞ VE REZERV '!J5</f>
        <v>892351.12292337837</v>
      </c>
      <c r="P11" s="419">
        <f>'5 YILLIK YENİ MAAŞ VE REZERV '!K5</f>
        <v>3190.3598602398033</v>
      </c>
      <c r="Q11" s="419">
        <f>'5 YILLIK YENİ MAAŞ VE REZERV '!L5</f>
        <v>24063.298306792785</v>
      </c>
      <c r="R11" s="420">
        <f>'5 YILLIK YENİ MAAŞ VE REZERV '!M5</f>
        <v>27253.65816703259</v>
      </c>
      <c r="S11" s="419">
        <f>'5 YILLIK YENİ MAAŞ VE REZERV '!N5</f>
        <v>392446.31793383864</v>
      </c>
      <c r="T11" s="419">
        <f>'5 YILLIK GELECEĞİ PLANLAMA '!E37</f>
        <v>1019993.1666666666</v>
      </c>
      <c r="U11" s="200">
        <f t="shared" ref="U11:U16" si="1">O11/F11</f>
        <v>0.67023189024082441</v>
      </c>
      <c r="V11" s="201">
        <f t="shared" ref="V11:V16" si="2">O11/N11</f>
        <v>0.49510640159482877</v>
      </c>
      <c r="W11" s="201">
        <f t="shared" ref="W11:W16" si="3">O11/T11</f>
        <v>0.87485990307129025</v>
      </c>
      <c r="X11" s="777">
        <f t="shared" ref="X11:X16" si="4">M3/100</f>
        <v>0.90099999999999991</v>
      </c>
      <c r="Y11" s="243">
        <v>2023</v>
      </c>
      <c r="Z11" s="1191">
        <f t="shared" ref="Z11:Z16" si="5">S11/N11</f>
        <v>0.21774241024633836</v>
      </c>
      <c r="AA11" s="1191"/>
      <c r="AB11" s="1191">
        <f t="shared" ref="AB11:AB16" si="6">S11/T11</f>
        <v>0.38475386969145248</v>
      </c>
      <c r="AC11" s="1191"/>
    </row>
    <row r="12" spans="1:41" ht="48" thickTop="1" thickBot="1" x14ac:dyDescent="0.3">
      <c r="A12" s="1152">
        <f>'5 YILLIK GELECEĞİ PLANLAMA '!G43</f>
        <v>0.37086397481265321</v>
      </c>
      <c r="B12" s="1152"/>
      <c r="C12" s="1203">
        <v>2024</v>
      </c>
      <c r="D12" s="1204"/>
      <c r="E12" s="1205"/>
      <c r="F12" s="1123">
        <f>'5 YILLIK YENİ MAAŞ VE REZERV '!C6</f>
        <v>1982817.7516085305</v>
      </c>
      <c r="G12" s="1124"/>
      <c r="H12" s="1123">
        <f>'5 YILLIK YENİ MAAŞ VE REZERV '!D6</f>
        <v>53806.411011396638</v>
      </c>
      <c r="I12" s="1125"/>
      <c r="J12" s="775">
        <f t="shared" si="0"/>
        <v>77.099999999999994</v>
      </c>
      <c r="K12" s="251">
        <v>2024</v>
      </c>
      <c r="L12" s="249">
        <f>'5 YILLIK YENİ MAAŞ VE REZERV '!G6</f>
        <v>645676.93213675963</v>
      </c>
      <c r="M12" s="400">
        <f>'5 YILLIK YENİ MAAŞ VE REZERV '!H6</f>
        <v>567031.75160853053</v>
      </c>
      <c r="N12" s="238">
        <f>'5 YILLIK GELECEĞİ PLANLAMA '!H47</f>
        <v>2628494.6837452902</v>
      </c>
      <c r="O12" s="409">
        <f>'5 YILLIK YENİ MAAŞ VE REZERV '!J6</f>
        <v>1212708.6837452902</v>
      </c>
      <c r="P12" s="409">
        <f>'5 YILLIK YENİ MAAŞ VE REZERV '!K6</f>
        <v>6462.0712284470246</v>
      </c>
      <c r="Q12" s="409">
        <f>'5 YILLIK YENİ MAAŞ VE REZERV '!L6</f>
        <v>32759.25250571482</v>
      </c>
      <c r="R12" s="410">
        <f>'5 YILLIK YENİ MAAŞ VE REZERV '!M6</f>
        <v>39221.323734161844</v>
      </c>
      <c r="S12" s="400">
        <f>'5 YILLIK YENİ MAAŞ VE REZERV '!N6</f>
        <v>538064.11011396628</v>
      </c>
      <c r="T12" s="401">
        <f>'5 YILLIK GELECEĞİ PLANLAMA '!I37</f>
        <v>1617607.6666666667</v>
      </c>
      <c r="U12" s="202">
        <f t="shared" si="1"/>
        <v>0.61160874859098813</v>
      </c>
      <c r="V12" s="202">
        <f t="shared" si="2"/>
        <v>0.46137003481297723</v>
      </c>
      <c r="W12" s="202">
        <f t="shared" si="3"/>
        <v>0.74969271519605607</v>
      </c>
      <c r="X12" s="777">
        <f t="shared" si="4"/>
        <v>0.77099999999999991</v>
      </c>
      <c r="Y12" s="244">
        <v>2024</v>
      </c>
      <c r="Z12" s="1218">
        <f t="shared" si="5"/>
        <v>0.20470427938902633</v>
      </c>
      <c r="AA12" s="1218"/>
      <c r="AB12" s="1218">
        <f t="shared" si="6"/>
        <v>0.33262954992215843</v>
      </c>
      <c r="AC12" s="1218"/>
    </row>
    <row r="13" spans="1:41" ht="47.45" customHeight="1" thickTop="1" thickBot="1" x14ac:dyDescent="0.3">
      <c r="A13" s="1152">
        <f>'5 YILLIK GELECEĞİ PLANLAMA '!K43</f>
        <v>5.7491857085226111E-2</v>
      </c>
      <c r="B13" s="1152"/>
      <c r="C13" s="1206">
        <v>2025</v>
      </c>
      <c r="D13" s="1207"/>
      <c r="E13" s="1208"/>
      <c r="F13" s="1163">
        <f>'5 YILLIK YENİ MAAŞ VE REZERV '!C7</f>
        <v>2622042.2999212435</v>
      </c>
      <c r="G13" s="1164"/>
      <c r="H13" s="1163">
        <f>'5 YILLIK YENİ MAAŞ VE REZERV '!D7</f>
        <v>56780.967774334131</v>
      </c>
      <c r="I13" s="1165"/>
      <c r="J13" s="881">
        <f t="shared" si="0"/>
        <v>55.2</v>
      </c>
      <c r="K13" s="262">
        <v>2025</v>
      </c>
      <c r="L13" s="315">
        <f>'5 YILLIK YENİ MAAŞ VE REZERV '!G7</f>
        <v>681371.61329200957</v>
      </c>
      <c r="M13" s="402">
        <f>'5 YILLIK YENİ MAAŞ VE REZERV '!H7</f>
        <v>568186.95992124383</v>
      </c>
      <c r="N13" s="239">
        <f>'5 YILLIK YENİ MAAŞ VE REZERV '!I7</f>
        <v>3303413.913213253</v>
      </c>
      <c r="O13" s="411">
        <f>'5 YILLIK YENİ MAAŞ VE REZERV '!J7</f>
        <v>1249558.5732132534</v>
      </c>
      <c r="P13" s="411">
        <f>'5 YILLIK YENİ MAAŞ VE REZERV '!K7</f>
        <v>9547.8006007782606</v>
      </c>
      <c r="Q13" s="411">
        <f>'5 YILLIK YENİ MAAŞ VE REZERV '!L7</f>
        <v>33832.326983776235</v>
      </c>
      <c r="R13" s="412">
        <f>'5 YILLIK YENİ MAAŞ VE REZERV '!M7</f>
        <v>43380.127584554495</v>
      </c>
      <c r="S13" s="402">
        <f>'5 YILLIK YENİ MAAŞ VE REZERV '!N7</f>
        <v>567809.67774334131</v>
      </c>
      <c r="T13" s="403">
        <f>'5 YILLIK GELECEĞİ PLANLAMA '!M37</f>
        <v>2337135.6733333333</v>
      </c>
      <c r="U13" s="234">
        <f t="shared" si="1"/>
        <v>0.47655927337662918</v>
      </c>
      <c r="V13" s="234">
        <f t="shared" si="2"/>
        <v>0.37826279298975263</v>
      </c>
      <c r="W13" s="234">
        <f t="shared" si="3"/>
        <v>0.53465384464868226</v>
      </c>
      <c r="X13" s="234">
        <f t="shared" si="4"/>
        <v>0.55200000000000005</v>
      </c>
      <c r="Y13" s="261">
        <v>2025</v>
      </c>
      <c r="Z13" s="1219">
        <f t="shared" si="5"/>
        <v>0.17188571964057298</v>
      </c>
      <c r="AA13" s="1219"/>
      <c r="AB13" s="1219">
        <f t="shared" si="6"/>
        <v>0.24295109788534627</v>
      </c>
      <c r="AC13" s="1219"/>
    </row>
    <row r="14" spans="1:41" ht="48" thickTop="1" thickBot="1" x14ac:dyDescent="0.3">
      <c r="A14" s="1152">
        <f>'5 YILLIK GELECEĞİ PLANLAMA '!O43</f>
        <v>0.67962082520560685</v>
      </c>
      <c r="B14" s="1152"/>
      <c r="C14" s="1186" t="s">
        <v>225</v>
      </c>
      <c r="D14" s="1187"/>
      <c r="E14" s="209">
        <v>2026</v>
      </c>
      <c r="F14" s="1188">
        <f>'5 YILLIK YENİ MAAŞ VE REZERV '!C8</f>
        <v>3638867.3462584633</v>
      </c>
      <c r="G14" s="1189"/>
      <c r="H14" s="1188">
        <f>'5 YILLIK YENİ MAAŞ VE REZERV '!D8</f>
        <v>95370.495949100063</v>
      </c>
      <c r="I14" s="1190"/>
      <c r="J14" s="380">
        <f t="shared" si="0"/>
        <v>75</v>
      </c>
      <c r="K14" s="250">
        <v>2026</v>
      </c>
      <c r="L14" s="307">
        <f>'5 YILLIK YENİ MAAŞ VE REZERV '!G8</f>
        <v>1144445.9513892008</v>
      </c>
      <c r="M14" s="404">
        <f>'5 YILLIK YENİ MAAŞ VE REZERV '!H8</f>
        <v>1001390.2074655506</v>
      </c>
      <c r="N14" s="240">
        <f>'5 YILLIK YENİ MAAŞ VE REZERV '!I8</f>
        <v>4783313.2976476643</v>
      </c>
      <c r="O14" s="413">
        <f>'5 YILLIK GELECEĞİ PLANLAMA '!P41</f>
        <v>2145836.1588547514</v>
      </c>
      <c r="P14" s="413">
        <f>'5 YILLIK YENİ MAAŞ VE REZERV '!K8</f>
        <v>11108.313824622035</v>
      </c>
      <c r="Q14" s="413">
        <f>'5 YILLIK YENİ MAAŞ VE REZERV '!L8</f>
        <v>57957.335617709774</v>
      </c>
      <c r="R14" s="414">
        <f>'5 YILLIK YENİ MAAŞ VE REZERV '!M8</f>
        <v>69065.649442331807</v>
      </c>
      <c r="S14" s="404">
        <f>'5 YILLIK YENİ MAAŞ VE REZERV '!N8</f>
        <v>953704.95949100063</v>
      </c>
      <c r="T14" s="421">
        <f>'5 YILLIK GELECEĞİ PLANLAMA '!Q37</f>
        <v>2947199.9884064724</v>
      </c>
      <c r="U14" s="201">
        <f t="shared" si="1"/>
        <v>0.5896989240514996</v>
      </c>
      <c r="V14" s="201">
        <f t="shared" si="2"/>
        <v>0.44860874154114677</v>
      </c>
      <c r="W14" s="201">
        <f t="shared" si="3"/>
        <v>0.72809316208466324</v>
      </c>
      <c r="X14" s="201">
        <f t="shared" si="4"/>
        <v>0.75</v>
      </c>
      <c r="Y14" s="245">
        <v>2026</v>
      </c>
      <c r="Z14" s="1191">
        <f t="shared" si="5"/>
        <v>0.19938166290717632</v>
      </c>
      <c r="AA14" s="1191"/>
      <c r="AB14" s="1191">
        <f t="shared" si="6"/>
        <v>0.32359696092651702</v>
      </c>
      <c r="AC14" s="1191"/>
    </row>
    <row r="15" spans="1:41" ht="48" thickTop="1" thickBot="1" x14ac:dyDescent="0.3">
      <c r="A15" s="1152">
        <f>'5 YILLIK GELECEĞİ PLANLAMA '!S43</f>
        <v>0.28137140945747013</v>
      </c>
      <c r="B15" s="1152"/>
      <c r="C15" s="1162" t="s">
        <v>226</v>
      </c>
      <c r="D15" s="1162"/>
      <c r="E15" s="220">
        <v>2027</v>
      </c>
      <c r="F15" s="1182">
        <f>'5 YILLIK YENİ MAAŞ VE REZERV '!C9</f>
        <v>5088780.9772289861</v>
      </c>
      <c r="G15" s="1183"/>
      <c r="H15" s="1184">
        <f>'5 YILLIK YENİ MAAŞ VE REZERV '!D9</f>
        <v>122205.02681495629</v>
      </c>
      <c r="I15" s="1185"/>
      <c r="J15" s="381">
        <f t="shared" si="0"/>
        <v>65</v>
      </c>
      <c r="K15" s="252">
        <v>2027</v>
      </c>
      <c r="L15" s="263">
        <f>'5 YILLIK YENİ MAAŞ VE REZERV '!G9</f>
        <v>1466460.3217794755</v>
      </c>
      <c r="M15" s="405">
        <f>'5 YILLIK YENİ MAAŞ VE REZERV '!H9</f>
        <v>1256965.9900966934</v>
      </c>
      <c r="N15" s="241">
        <f>'5 YILLIK YENİ MAAŞ VE REZERV '!I9</f>
        <v>6555241.2990084616</v>
      </c>
      <c r="O15" s="415">
        <f>'5 YILLIK YENİ MAAŞ VE REZERV '!J9</f>
        <v>2723426.3118761689</v>
      </c>
      <c r="P15" s="415">
        <f>'5 YILLIK YENİ MAAŞ VE REZERV '!K9</f>
        <v>15858.305175256184</v>
      </c>
      <c r="Q15" s="415">
        <f>'5 YILLIK YENİ MAAŞ VE REZERV '!L9</f>
        <v>73604.879455085858</v>
      </c>
      <c r="R15" s="416">
        <f>'5 YILLIK YENİ MAAŞ VE REZERV '!M9</f>
        <v>89463.184630342046</v>
      </c>
      <c r="S15" s="405">
        <f>'5 YILLIK YENİ MAAŞ VE REZERV '!N9</f>
        <v>1222050.2681495629</v>
      </c>
      <c r="T15" s="406">
        <f>'5 YILLIK GELECEĞİ PLANLAMA '!U37</f>
        <v>4324194.7747067036</v>
      </c>
      <c r="U15" s="203">
        <f t="shared" si="1"/>
        <v>0.53518245805091946</v>
      </c>
      <c r="V15" s="203">
        <f t="shared" si="2"/>
        <v>0.41545782796555658</v>
      </c>
      <c r="W15" s="203">
        <f t="shared" si="3"/>
        <v>0.6298112027252265</v>
      </c>
      <c r="X15" s="203">
        <f t="shared" si="4"/>
        <v>0.65</v>
      </c>
      <c r="Y15" s="246">
        <v>2027</v>
      </c>
      <c r="Z15" s="1218">
        <f t="shared" si="5"/>
        <v>0.18642338434351896</v>
      </c>
      <c r="AA15" s="1218"/>
      <c r="AB15" s="1218">
        <f t="shared" si="6"/>
        <v>0.28260759096644777</v>
      </c>
      <c r="AC15" s="1218"/>
    </row>
    <row r="16" spans="1:41" ht="48" thickTop="1" thickBot="1" x14ac:dyDescent="0.3">
      <c r="A16" s="1152">
        <f>'5 YILLIK GELECEĞİ PLANLAMA '!W43</f>
        <v>0.36195372715334334</v>
      </c>
      <c r="B16" s="1152"/>
      <c r="C16" s="1162" t="s">
        <v>227</v>
      </c>
      <c r="D16" s="1162"/>
      <c r="E16" s="220">
        <v>2028</v>
      </c>
      <c r="F16" s="1163">
        <f>'5 YILLIK YENİ MAAŞ VE REZERV '!C10</f>
        <v>6934883.1466754535</v>
      </c>
      <c r="G16" s="1164"/>
      <c r="H16" s="1163">
        <f>'5 YILLIK YENİ MAAŞ VE REZERV '!D10</f>
        <v>166437.59174750399</v>
      </c>
      <c r="I16" s="1165"/>
      <c r="J16" s="381">
        <f t="shared" si="0"/>
        <v>65</v>
      </c>
      <c r="K16" s="262">
        <v>2028</v>
      </c>
      <c r="L16" s="315">
        <f>'5 YILLIK YENİ MAAŞ VE REZERV '!G10</f>
        <v>1997251.100970048</v>
      </c>
      <c r="M16" s="402">
        <f>'5 YILLIK YENİ MAAŞ VE REZERV '!H10</f>
        <v>1711929.5151171843</v>
      </c>
      <c r="N16" s="239">
        <f>'5 YILLIK YENİ MAAŞ VE REZERV '!I10</f>
        <v>8932134.247645501</v>
      </c>
      <c r="O16" s="417">
        <f>'5 YILLIK YENİ MAAŞ VE REZERV '!J10</f>
        <v>3709180.6160872323</v>
      </c>
      <c r="P16" s="417">
        <f>'5 YILLIK YENİ MAAŞ VE REZERV '!K10</f>
        <v>22204.794457503238</v>
      </c>
      <c r="Q16" s="417">
        <f>'5 YILLIK YENİ MAAŞ VE REZERV '!L10</f>
        <v>100262.73707886679</v>
      </c>
      <c r="R16" s="418">
        <f>'5 YILLIK YENİ MAAŞ VE REZERV '!M10</f>
        <v>122467.53153637002</v>
      </c>
      <c r="S16" s="407">
        <f>'5 YILLIK YENİ MAAŞ VE REZERV '!N10</f>
        <v>1664375.9174750398</v>
      </c>
      <c r="T16" s="408">
        <f>'5 YILLIK GELECEĞİ PLANLAMA '!Y37</f>
        <v>5872719.1699856482</v>
      </c>
      <c r="U16" s="382">
        <f t="shared" si="1"/>
        <v>0.53485841616024832</v>
      </c>
      <c r="V16" s="382">
        <f t="shared" si="2"/>
        <v>0.41526252441458406</v>
      </c>
      <c r="W16" s="382">
        <f t="shared" si="3"/>
        <v>0.63159509398034042</v>
      </c>
      <c r="X16" s="382">
        <f t="shared" si="4"/>
        <v>0.65</v>
      </c>
      <c r="Y16" s="383">
        <v>2028</v>
      </c>
      <c r="Z16" s="1209">
        <f t="shared" si="5"/>
        <v>0.18633574813474924</v>
      </c>
      <c r="AA16" s="1209"/>
      <c r="AB16" s="1209">
        <f t="shared" si="6"/>
        <v>0.28340805499117833</v>
      </c>
      <c r="AC16" s="1209"/>
    </row>
    <row r="17" spans="3:23" ht="16.5" thickTop="1" thickBot="1" x14ac:dyDescent="0.3"/>
    <row r="18" spans="3:23" ht="16.899999999999999" customHeight="1" thickTop="1" x14ac:dyDescent="0.25">
      <c r="C18" s="1153" t="s">
        <v>260</v>
      </c>
      <c r="D18" s="1154"/>
      <c r="E18" s="1154"/>
      <c r="F18" s="1154"/>
      <c r="G18" s="1154"/>
      <c r="H18" s="1154"/>
      <c r="I18" s="1154"/>
      <c r="J18" s="1154"/>
      <c r="K18" s="1154"/>
      <c r="L18" s="1154"/>
      <c r="M18" s="1154"/>
      <c r="N18" s="1154"/>
      <c r="O18" s="1154"/>
      <c r="P18" s="1154"/>
      <c r="Q18" s="1154"/>
      <c r="R18" s="1155"/>
    </row>
    <row r="19" spans="3:23" ht="14.45" customHeight="1" x14ac:dyDescent="0.25">
      <c r="C19" s="1156"/>
      <c r="D19" s="1157"/>
      <c r="E19" s="1157"/>
      <c r="F19" s="1157"/>
      <c r="G19" s="1157"/>
      <c r="H19" s="1157"/>
      <c r="I19" s="1157"/>
      <c r="J19" s="1157"/>
      <c r="K19" s="1157"/>
      <c r="L19" s="1157"/>
      <c r="M19" s="1157"/>
      <c r="N19" s="1157"/>
      <c r="O19" s="1157"/>
      <c r="P19" s="1157"/>
      <c r="Q19" s="1157"/>
      <c r="R19" s="1158"/>
    </row>
    <row r="20" spans="3:23" ht="14.45" customHeight="1" x14ac:dyDescent="0.25">
      <c r="C20" s="1156"/>
      <c r="D20" s="1157"/>
      <c r="E20" s="1157"/>
      <c r="F20" s="1157"/>
      <c r="G20" s="1157"/>
      <c r="H20" s="1157"/>
      <c r="I20" s="1157"/>
      <c r="J20" s="1157"/>
      <c r="K20" s="1157"/>
      <c r="L20" s="1157"/>
      <c r="M20" s="1157"/>
      <c r="N20" s="1157"/>
      <c r="O20" s="1157"/>
      <c r="P20" s="1157"/>
      <c r="Q20" s="1157"/>
      <c r="R20" s="1158"/>
      <c r="T20" s="1040"/>
      <c r="U20" s="1040"/>
    </row>
    <row r="21" spans="3:23" ht="15" customHeight="1" x14ac:dyDescent="0.25">
      <c r="C21" s="1156"/>
      <c r="D21" s="1157"/>
      <c r="E21" s="1157"/>
      <c r="F21" s="1157"/>
      <c r="G21" s="1157"/>
      <c r="H21" s="1157"/>
      <c r="I21" s="1157"/>
      <c r="J21" s="1157"/>
      <c r="K21" s="1157"/>
      <c r="L21" s="1157"/>
      <c r="M21" s="1157"/>
      <c r="N21" s="1157"/>
      <c r="O21" s="1157"/>
      <c r="P21" s="1157"/>
      <c r="Q21" s="1157"/>
      <c r="R21" s="1158"/>
      <c r="T21" s="1040"/>
      <c r="U21" s="1040"/>
    </row>
    <row r="22" spans="3:23" ht="368.45" customHeight="1" thickBot="1" x14ac:dyDescent="0.5">
      <c r="C22" s="1159"/>
      <c r="D22" s="1160"/>
      <c r="E22" s="1160"/>
      <c r="F22" s="1160"/>
      <c r="G22" s="1160"/>
      <c r="H22" s="1160"/>
      <c r="I22" s="1160"/>
      <c r="J22" s="1160"/>
      <c r="K22" s="1160"/>
      <c r="L22" s="1160"/>
      <c r="M22" s="1160"/>
      <c r="N22" s="1160"/>
      <c r="O22" s="1160"/>
      <c r="P22" s="1160"/>
      <c r="Q22" s="1160"/>
      <c r="R22" s="1161"/>
      <c r="S22" s="311"/>
      <c r="T22" s="311"/>
      <c r="U22" s="311"/>
      <c r="V22" s="311"/>
      <c r="W22" s="466"/>
    </row>
    <row r="23" spans="3:23" ht="15.75" thickTop="1" x14ac:dyDescent="0.25"/>
    <row r="25" spans="3:23" ht="28.5" x14ac:dyDescent="0.25">
      <c r="T25" s="1081"/>
      <c r="U25" s="1081"/>
    </row>
    <row r="26" spans="3:23" ht="28.5" x14ac:dyDescent="0.45">
      <c r="Q26" s="311"/>
    </row>
    <row r="27" spans="3:23" x14ac:dyDescent="0.25">
      <c r="Q27" s="1"/>
    </row>
    <row r="28" spans="3:23" ht="33.75" x14ac:dyDescent="0.5">
      <c r="N28" s="426"/>
      <c r="O28" s="425"/>
    </row>
    <row r="29" spans="3:23" ht="28.5" x14ac:dyDescent="0.45">
      <c r="O29" s="311"/>
    </row>
  </sheetData>
  <protectedRanges>
    <protectedRange algorithmName="SHA-512" hashValue="FoJ+/l5eVT2EH6sboFJUmsbZnDfPg41GtrTE+eyAZCUgHRj19I5PF5dxv1QVaSj8e0VKp8XsolVTKHiNh7Qu5Q==" saltValue="3wSkbAgE+oTmOv51IwGFQQ==" spinCount="100000" sqref="J2:N7 N8" name="GELECEK YILLAR TAHMİN GİRİŞİ"/>
    <protectedRange algorithmName="SHA-512" hashValue="8svjYRQU+h7AqANfAsob+TTuyu9f8UR9c7iConKLYtUQ2U5CQk0bpdJcbXSEkZ6TbBCRoWcuGeZzaOvr8Mqu3g==" saltValue="dO/BPRZ+T4i9pdz8MDnyaA==" spinCount="100000" sqref="D2:H7 C2:C3 C5:C7" name="GEÇMİŞ YILLAR VERİ GİRİŞİ"/>
  </protectedRanges>
  <mergeCells count="82">
    <mergeCell ref="T20:U21"/>
    <mergeCell ref="AB16:AC16"/>
    <mergeCell ref="Z10:AA10"/>
    <mergeCell ref="AB10:AC10"/>
    <mergeCell ref="P8:Q8"/>
    <mergeCell ref="R8:S8"/>
    <mergeCell ref="AB15:AC15"/>
    <mergeCell ref="Z11:AA11"/>
    <mergeCell ref="Z12:AA12"/>
    <mergeCell ref="Z13:AA13"/>
    <mergeCell ref="AB11:AC11"/>
    <mergeCell ref="AB12:AC12"/>
    <mergeCell ref="AB13:AC13"/>
    <mergeCell ref="AB14:AC14"/>
    <mergeCell ref="Z16:AA16"/>
    <mergeCell ref="Z15:AA15"/>
    <mergeCell ref="Z14:AA14"/>
    <mergeCell ref="A11:B11"/>
    <mergeCell ref="A10:B10"/>
    <mergeCell ref="A12:B12"/>
    <mergeCell ref="A13:B13"/>
    <mergeCell ref="C10:E10"/>
    <mergeCell ref="F11:G11"/>
    <mergeCell ref="H11:I11"/>
    <mergeCell ref="F13:G13"/>
    <mergeCell ref="H13:I13"/>
    <mergeCell ref="C11:E11"/>
    <mergeCell ref="C12:E12"/>
    <mergeCell ref="C13:E13"/>
    <mergeCell ref="C15:D15"/>
    <mergeCell ref="F15:G15"/>
    <mergeCell ref="H15:I15"/>
    <mergeCell ref="C14:D14"/>
    <mergeCell ref="F14:G14"/>
    <mergeCell ref="H14:I14"/>
    <mergeCell ref="J2:K2"/>
    <mergeCell ref="O4:O5"/>
    <mergeCell ref="A14:B14"/>
    <mergeCell ref="A15:B15"/>
    <mergeCell ref="C18:R22"/>
    <mergeCell ref="A16:B16"/>
    <mergeCell ref="C16:D16"/>
    <mergeCell ref="F16:G16"/>
    <mergeCell ref="H16:I16"/>
    <mergeCell ref="C9:I9"/>
    <mergeCell ref="G3:G4"/>
    <mergeCell ref="J3:K3"/>
    <mergeCell ref="J4:K4"/>
    <mergeCell ref="H3:H6"/>
    <mergeCell ref="J5:K5"/>
    <mergeCell ref="J6:K6"/>
    <mergeCell ref="F3:F4"/>
    <mergeCell ref="AH6:AH7"/>
    <mergeCell ref="AM6:AO7"/>
    <mergeCell ref="F12:G12"/>
    <mergeCell ref="H12:I12"/>
    <mergeCell ref="O6:O7"/>
    <mergeCell ref="Z6:AB7"/>
    <mergeCell ref="J7:K7"/>
    <mergeCell ref="J9:N9"/>
    <mergeCell ref="T6:T7"/>
    <mergeCell ref="U6:V6"/>
    <mergeCell ref="U7:V7"/>
    <mergeCell ref="Y6:Y7"/>
    <mergeCell ref="F10:G10"/>
    <mergeCell ref="H10:I10"/>
    <mergeCell ref="T25:U25"/>
    <mergeCell ref="C3:C4"/>
    <mergeCell ref="Z5:AB5"/>
    <mergeCell ref="AC5:AE5"/>
    <mergeCell ref="J8:K8"/>
    <mergeCell ref="AC6:AE7"/>
    <mergeCell ref="T2:U3"/>
    <mergeCell ref="T4:U4"/>
    <mergeCell ref="W2:X2"/>
    <mergeCell ref="W3:X3"/>
    <mergeCell ref="T5:Y5"/>
    <mergeCell ref="D2:H2"/>
    <mergeCell ref="P2:Q3"/>
    <mergeCell ref="R2:S3"/>
    <mergeCell ref="D3:D4"/>
    <mergeCell ref="E3:E4"/>
  </mergeCells>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Q105"/>
  <sheetViews>
    <sheetView zoomScale="62" zoomScaleNormal="62" workbookViewId="0">
      <selection activeCell="E28" sqref="E28"/>
    </sheetView>
  </sheetViews>
  <sheetFormatPr defaultRowHeight="15" x14ac:dyDescent="0.25"/>
  <cols>
    <col min="3" max="3" width="1.28515625" customWidth="1"/>
    <col min="5" max="5" width="10.140625" customWidth="1"/>
    <col min="6" max="6" width="11.42578125" customWidth="1"/>
    <col min="7" max="7" width="19.28515625" customWidth="1"/>
    <col min="8" max="8" width="14.28515625" customWidth="1"/>
    <col min="9" max="9" width="1.28515625" hidden="1" customWidth="1"/>
    <col min="10" max="10" width="25.28515625" customWidth="1"/>
    <col min="11" max="11" width="17.140625" customWidth="1"/>
    <col min="12" max="12" width="20.140625" customWidth="1"/>
  </cols>
  <sheetData>
    <row r="4" spans="2:10" ht="15.75" thickBot="1" x14ac:dyDescent="0.3"/>
    <row r="5" spans="2:10" ht="51" customHeight="1" x14ac:dyDescent="0.25">
      <c r="B5" s="854" t="s">
        <v>317</v>
      </c>
      <c r="D5" s="610" t="s">
        <v>97</v>
      </c>
      <c r="E5" s="608" t="s">
        <v>253</v>
      </c>
      <c r="F5" s="609" t="s">
        <v>314</v>
      </c>
      <c r="G5" s="605" t="s">
        <v>322</v>
      </c>
      <c r="H5" s="618" t="s">
        <v>316</v>
      </c>
      <c r="I5" s="611" t="s">
        <v>321</v>
      </c>
      <c r="J5" s="613" t="s">
        <v>318</v>
      </c>
    </row>
    <row r="6" spans="2:10" ht="21" customHeight="1" x14ac:dyDescent="0.25">
      <c r="B6" s="1220">
        <v>22</v>
      </c>
      <c r="D6" s="844">
        <v>2007</v>
      </c>
      <c r="E6" s="844">
        <v>54.2</v>
      </c>
      <c r="F6" s="844">
        <v>8.4</v>
      </c>
      <c r="G6" s="845">
        <f t="shared" ref="G6:G25" si="0">E6/F6</f>
        <v>6.4523809523809526</v>
      </c>
      <c r="H6" s="847">
        <v>1</v>
      </c>
      <c r="I6" s="847">
        <v>4</v>
      </c>
      <c r="J6" s="848" t="s">
        <v>319</v>
      </c>
    </row>
    <row r="7" spans="2:10" ht="15.6" customHeight="1" x14ac:dyDescent="0.25">
      <c r="B7" s="1221"/>
      <c r="D7" s="265">
        <v>2004</v>
      </c>
      <c r="E7" s="265">
        <v>40.299999999999997</v>
      </c>
      <c r="F7" s="265">
        <v>9.3000000000000007</v>
      </c>
      <c r="G7" s="594">
        <f t="shared" si="0"/>
        <v>4.333333333333333</v>
      </c>
      <c r="H7" s="598">
        <v>2</v>
      </c>
      <c r="I7" s="598">
        <v>6</v>
      </c>
      <c r="J7" s="471"/>
    </row>
    <row r="8" spans="2:10" ht="15.6" customHeight="1" x14ac:dyDescent="0.25">
      <c r="B8" s="1221"/>
      <c r="D8" s="265">
        <v>2005</v>
      </c>
      <c r="E8" s="265">
        <v>26.8</v>
      </c>
      <c r="F8" s="265">
        <v>7.7</v>
      </c>
      <c r="G8" s="594">
        <f t="shared" si="0"/>
        <v>3.4805194805194803</v>
      </c>
      <c r="H8" s="598">
        <v>3</v>
      </c>
      <c r="I8" s="598">
        <v>9</v>
      </c>
      <c r="J8" s="471"/>
    </row>
    <row r="9" spans="2:10" ht="15.6" customHeight="1" x14ac:dyDescent="0.25">
      <c r="B9" s="1221"/>
      <c r="D9" s="265">
        <v>2008</v>
      </c>
      <c r="E9" s="265">
        <v>26.3</v>
      </c>
      <c r="F9" s="265">
        <v>10.1</v>
      </c>
      <c r="G9" s="594">
        <f t="shared" si="0"/>
        <v>2.6039603960396041</v>
      </c>
      <c r="H9" s="598">
        <v>4</v>
      </c>
      <c r="I9" s="598">
        <v>10</v>
      </c>
      <c r="J9" s="471"/>
    </row>
    <row r="10" spans="2:10" ht="15.6" customHeight="1" x14ac:dyDescent="0.25">
      <c r="B10" s="1221"/>
      <c r="D10" s="265">
        <v>2006</v>
      </c>
      <c r="E10" s="604">
        <v>25.1</v>
      </c>
      <c r="F10" s="604">
        <v>9.6999999999999993</v>
      </c>
      <c r="G10" s="600">
        <f t="shared" si="0"/>
        <v>2.5876288659793816</v>
      </c>
      <c r="H10" s="598">
        <v>5</v>
      </c>
      <c r="I10" s="598">
        <v>11</v>
      </c>
      <c r="J10" s="471"/>
    </row>
    <row r="11" spans="2:10" ht="15.6" customHeight="1" x14ac:dyDescent="0.25">
      <c r="B11" s="1221"/>
      <c r="D11" s="844">
        <v>2021</v>
      </c>
      <c r="E11" s="844">
        <v>83.5</v>
      </c>
      <c r="F11" s="844">
        <v>36.08</v>
      </c>
      <c r="G11" s="845">
        <f>E11/F11</f>
        <v>2.3143015521064303</v>
      </c>
      <c r="H11" s="837">
        <v>6</v>
      </c>
      <c r="I11" s="837">
        <v>2</v>
      </c>
      <c r="J11" s="846" t="s">
        <v>323</v>
      </c>
    </row>
    <row r="12" spans="2:10" ht="15.6" customHeight="1" x14ac:dyDescent="0.25">
      <c r="B12" s="1221"/>
      <c r="D12" s="265">
        <v>2012</v>
      </c>
      <c r="E12" s="265">
        <v>14.2</v>
      </c>
      <c r="F12" s="265">
        <v>6.2</v>
      </c>
      <c r="G12" s="594">
        <f t="shared" si="0"/>
        <v>2.290322580645161</v>
      </c>
      <c r="H12" s="598">
        <v>7</v>
      </c>
      <c r="I12" s="598">
        <v>18</v>
      </c>
      <c r="J12" s="471"/>
    </row>
    <row r="13" spans="2:10" ht="15.6" customHeight="1" x14ac:dyDescent="0.25">
      <c r="B13" s="1221"/>
      <c r="D13" s="265">
        <v>2016</v>
      </c>
      <c r="E13" s="265">
        <v>19.100000000000001</v>
      </c>
      <c r="F13" s="265">
        <v>8.5</v>
      </c>
      <c r="G13" s="594">
        <f t="shared" si="0"/>
        <v>2.2470588235294118</v>
      </c>
      <c r="H13" s="598">
        <v>8</v>
      </c>
      <c r="I13" s="598">
        <v>14</v>
      </c>
      <c r="J13" s="471"/>
    </row>
    <row r="14" spans="2:10" ht="15.6" customHeight="1" x14ac:dyDescent="0.25">
      <c r="B14" s="1221"/>
      <c r="D14" s="265">
        <v>2009</v>
      </c>
      <c r="E14" s="265">
        <v>14.2</v>
      </c>
      <c r="F14" s="265">
        <v>6.5</v>
      </c>
      <c r="G14" s="594">
        <f t="shared" si="0"/>
        <v>2.1846153846153844</v>
      </c>
      <c r="H14" s="598">
        <v>9</v>
      </c>
      <c r="I14" s="598">
        <v>19</v>
      </c>
      <c r="J14" s="471"/>
    </row>
    <row r="15" spans="2:10" ht="15.6" customHeight="1" x14ac:dyDescent="0.25">
      <c r="B15" s="1221"/>
      <c r="D15" s="265">
        <v>2003</v>
      </c>
      <c r="E15" s="265">
        <v>39.200000000000003</v>
      </c>
      <c r="F15" s="265">
        <v>18.399999999999999</v>
      </c>
      <c r="G15" s="594">
        <f t="shared" si="0"/>
        <v>2.1304347826086958</v>
      </c>
      <c r="H15" s="598">
        <v>10</v>
      </c>
      <c r="I15" s="598">
        <v>7</v>
      </c>
      <c r="J15" s="471"/>
    </row>
    <row r="16" spans="2:10" ht="15.6" customHeight="1" x14ac:dyDescent="0.25">
      <c r="B16" s="1221"/>
      <c r="D16" s="265">
        <v>2014</v>
      </c>
      <c r="E16" s="265">
        <v>17.2</v>
      </c>
      <c r="F16" s="265">
        <v>8.1999999999999993</v>
      </c>
      <c r="G16" s="594">
        <f t="shared" si="0"/>
        <v>2.0975609756097562</v>
      </c>
      <c r="H16" s="598">
        <v>11</v>
      </c>
      <c r="I16" s="598">
        <v>15</v>
      </c>
      <c r="J16" s="471"/>
    </row>
    <row r="17" spans="2:10" ht="15.6" customHeight="1" x14ac:dyDescent="0.25">
      <c r="B17" s="1221"/>
      <c r="D17" s="265">
        <v>2018</v>
      </c>
      <c r="E17" s="265">
        <v>42.2</v>
      </c>
      <c r="F17" s="265">
        <v>20.3</v>
      </c>
      <c r="G17" s="594">
        <f t="shared" si="0"/>
        <v>2.0788177339901477</v>
      </c>
      <c r="H17" s="598">
        <v>12</v>
      </c>
      <c r="I17" s="598">
        <v>5</v>
      </c>
      <c r="J17" s="471"/>
    </row>
    <row r="18" spans="2:10" ht="15.6" customHeight="1" x14ac:dyDescent="0.25">
      <c r="B18" s="1221"/>
      <c r="D18" s="265">
        <v>2017</v>
      </c>
      <c r="E18" s="265">
        <v>24.7</v>
      </c>
      <c r="F18" s="265">
        <v>11.9</v>
      </c>
      <c r="G18" s="594">
        <f t="shared" si="0"/>
        <v>2.0756302521008401</v>
      </c>
      <c r="H18" s="598">
        <v>13</v>
      </c>
      <c r="I18" s="598">
        <v>12</v>
      </c>
      <c r="J18" s="471"/>
    </row>
    <row r="19" spans="2:10" ht="15.6" customHeight="1" x14ac:dyDescent="0.25">
      <c r="B19" s="1221"/>
      <c r="D19" s="265">
        <v>2013</v>
      </c>
      <c r="E19" s="265">
        <v>15.3</v>
      </c>
      <c r="F19" s="265">
        <v>7.4</v>
      </c>
      <c r="G19" s="594">
        <f t="shared" si="0"/>
        <v>2.0675675675675675</v>
      </c>
      <c r="H19" s="598">
        <v>14</v>
      </c>
      <c r="I19" s="598">
        <v>17</v>
      </c>
      <c r="J19" s="471"/>
    </row>
    <row r="20" spans="2:10" ht="15" customHeight="1" x14ac:dyDescent="0.25">
      <c r="B20" s="1221"/>
      <c r="D20" s="265">
        <v>2010</v>
      </c>
      <c r="E20" s="265">
        <v>13.1</v>
      </c>
      <c r="F20" s="265">
        <v>6.4</v>
      </c>
      <c r="G20" s="594">
        <f t="shared" si="0"/>
        <v>2.046875</v>
      </c>
      <c r="H20" s="598">
        <v>15</v>
      </c>
      <c r="I20" s="598">
        <v>21</v>
      </c>
      <c r="J20" s="471"/>
    </row>
    <row r="21" spans="2:10" ht="15.6" customHeight="1" x14ac:dyDescent="0.25">
      <c r="B21" s="1221"/>
      <c r="D21" s="265">
        <v>2015</v>
      </c>
      <c r="E21" s="265">
        <v>17.100000000000001</v>
      </c>
      <c r="F21" s="265">
        <v>8.8000000000000007</v>
      </c>
      <c r="G21" s="594">
        <f t="shared" si="0"/>
        <v>1.9431818181818181</v>
      </c>
      <c r="H21" s="598">
        <v>16</v>
      </c>
      <c r="I21" s="598">
        <v>16</v>
      </c>
      <c r="J21" s="471"/>
    </row>
    <row r="22" spans="2:10" ht="15.6" customHeight="1" x14ac:dyDescent="0.25">
      <c r="B22" s="1221"/>
      <c r="D22" s="265">
        <v>2020</v>
      </c>
      <c r="E22" s="265">
        <v>27.2</v>
      </c>
      <c r="F22" s="265">
        <v>14.6</v>
      </c>
      <c r="G22" s="594">
        <f t="shared" si="0"/>
        <v>1.8630136986301369</v>
      </c>
      <c r="H22" s="598">
        <v>17</v>
      </c>
      <c r="I22" s="598">
        <v>8</v>
      </c>
      <c r="J22" s="471"/>
    </row>
    <row r="23" spans="2:10" ht="15.6" customHeight="1" x14ac:dyDescent="0.25">
      <c r="B23" s="1221"/>
      <c r="D23" s="265">
        <v>2019</v>
      </c>
      <c r="E23" s="265">
        <v>20.5</v>
      </c>
      <c r="F23" s="265">
        <v>11.8</v>
      </c>
      <c r="G23" s="594">
        <f t="shared" si="0"/>
        <v>1.7372881355932202</v>
      </c>
      <c r="H23" s="598">
        <v>18</v>
      </c>
      <c r="I23" s="598">
        <v>13</v>
      </c>
      <c r="J23" s="471"/>
    </row>
    <row r="24" spans="2:10" ht="15.6" customHeight="1" x14ac:dyDescent="0.25">
      <c r="B24" s="1221"/>
      <c r="D24" s="841">
        <v>2022</v>
      </c>
      <c r="E24" s="841">
        <v>90.1</v>
      </c>
      <c r="F24" s="841">
        <v>64.27</v>
      </c>
      <c r="G24" s="842">
        <f t="shared" si="0"/>
        <v>1.4018982417924382</v>
      </c>
      <c r="H24" s="841">
        <v>19</v>
      </c>
      <c r="I24" s="843">
        <v>1</v>
      </c>
      <c r="J24" s="836" t="s">
        <v>323</v>
      </c>
    </row>
    <row r="25" spans="2:10" ht="15.6" customHeight="1" x14ac:dyDescent="0.25">
      <c r="B25" s="1221"/>
      <c r="D25" s="265">
        <v>2011</v>
      </c>
      <c r="E25" s="265">
        <v>14.1</v>
      </c>
      <c r="F25" s="265">
        <v>10.5</v>
      </c>
      <c r="G25" s="594">
        <f t="shared" si="0"/>
        <v>1.3428571428571427</v>
      </c>
      <c r="H25" s="598">
        <v>20</v>
      </c>
      <c r="I25" s="598">
        <v>20</v>
      </c>
    </row>
    <row r="26" spans="2:10" ht="18" customHeight="1" x14ac:dyDescent="0.25">
      <c r="B26" s="1221"/>
      <c r="C26" s="601"/>
      <c r="D26" s="837">
        <v>2023</v>
      </c>
      <c r="E26" s="838">
        <v>77.099999999999994</v>
      </c>
      <c r="F26" s="837">
        <v>64.77</v>
      </c>
      <c r="G26" s="839">
        <f>E26/F26</f>
        <v>1.1903659101435851</v>
      </c>
      <c r="H26" s="837">
        <v>22</v>
      </c>
      <c r="I26" s="837">
        <v>3</v>
      </c>
      <c r="J26" s="840" t="s">
        <v>320</v>
      </c>
    </row>
    <row r="27" spans="2:10" ht="24" thickBot="1" x14ac:dyDescent="0.3">
      <c r="B27" s="1222"/>
      <c r="C27" s="601"/>
      <c r="D27" s="852">
        <v>2024</v>
      </c>
      <c r="E27" s="850">
        <v>55.7</v>
      </c>
      <c r="F27" s="762">
        <v>44.38</v>
      </c>
      <c r="G27" s="849">
        <f>E27/F27</f>
        <v>1.2550698512843623</v>
      </c>
      <c r="H27" s="855">
        <v>21</v>
      </c>
      <c r="I27" s="761">
        <v>5</v>
      </c>
      <c r="J27" s="851" t="s">
        <v>515</v>
      </c>
    </row>
    <row r="28" spans="2:10" ht="37.5" x14ac:dyDescent="0.25">
      <c r="B28" s="853" t="s">
        <v>317</v>
      </c>
      <c r="C28" s="601"/>
      <c r="D28" s="602" t="s">
        <v>97</v>
      </c>
      <c r="E28" s="602" t="s">
        <v>253</v>
      </c>
      <c r="F28" s="602" t="s">
        <v>314</v>
      </c>
      <c r="G28" s="603" t="s">
        <v>315</v>
      </c>
      <c r="H28" s="603" t="s">
        <v>316</v>
      </c>
    </row>
    <row r="29" spans="2:10" ht="18.75" x14ac:dyDescent="0.25">
      <c r="B29" s="1229">
        <v>21</v>
      </c>
      <c r="C29" s="601"/>
      <c r="D29" s="265">
        <v>2003</v>
      </c>
      <c r="E29" s="540">
        <v>39.200000000000003</v>
      </c>
      <c r="F29" s="265">
        <v>18.399999999999999</v>
      </c>
      <c r="G29" s="594">
        <f t="shared" ref="G29:G50" si="1">E29/F29</f>
        <v>2.1304347826086958</v>
      </c>
      <c r="H29" s="593">
        <v>10</v>
      </c>
      <c r="I29" s="756">
        <v>10</v>
      </c>
    </row>
    <row r="30" spans="2:10" ht="18" customHeight="1" x14ac:dyDescent="0.25">
      <c r="B30" s="1230"/>
      <c r="C30" s="601"/>
      <c r="D30" s="265">
        <v>2004</v>
      </c>
      <c r="E30" s="540">
        <v>40.299999999999997</v>
      </c>
      <c r="F30" s="265">
        <v>9.3000000000000007</v>
      </c>
      <c r="G30" s="594">
        <f t="shared" si="1"/>
        <v>4.333333333333333</v>
      </c>
      <c r="H30" s="593">
        <v>2</v>
      </c>
      <c r="I30" s="756">
        <v>2</v>
      </c>
    </row>
    <row r="31" spans="2:10" ht="18" customHeight="1" x14ac:dyDescent="0.25">
      <c r="B31" s="1230"/>
      <c r="C31" s="601"/>
      <c r="D31" s="265">
        <v>2005</v>
      </c>
      <c r="E31" s="540">
        <v>26.8</v>
      </c>
      <c r="F31" s="265">
        <v>7.7</v>
      </c>
      <c r="G31" s="594">
        <f t="shared" si="1"/>
        <v>3.4805194805194803</v>
      </c>
      <c r="H31" s="593">
        <v>3</v>
      </c>
      <c r="I31" s="756">
        <v>3</v>
      </c>
    </row>
    <row r="32" spans="2:10" ht="18" customHeight="1" x14ac:dyDescent="0.25">
      <c r="B32" s="1230"/>
      <c r="C32" s="601"/>
      <c r="D32" s="265">
        <v>2006</v>
      </c>
      <c r="E32" s="540">
        <v>25.1</v>
      </c>
      <c r="F32" s="265">
        <v>9.6999999999999993</v>
      </c>
      <c r="G32" s="594">
        <f t="shared" si="1"/>
        <v>2.5876288659793816</v>
      </c>
      <c r="H32" s="593">
        <v>5</v>
      </c>
      <c r="I32" s="756">
        <v>5</v>
      </c>
    </row>
    <row r="33" spans="2:12" ht="18" customHeight="1" x14ac:dyDescent="0.25">
      <c r="B33" s="1230"/>
      <c r="C33" s="601"/>
      <c r="D33" s="265">
        <v>2007</v>
      </c>
      <c r="E33" s="599">
        <v>54.2</v>
      </c>
      <c r="F33" s="604">
        <v>8.4</v>
      </c>
      <c r="G33" s="600">
        <f t="shared" si="1"/>
        <v>6.4523809523809526</v>
      </c>
      <c r="H33" s="265">
        <v>1</v>
      </c>
      <c r="I33" s="762">
        <v>1</v>
      </c>
    </row>
    <row r="34" spans="2:12" ht="18" customHeight="1" x14ac:dyDescent="0.25">
      <c r="B34" s="1230"/>
      <c r="C34" s="601"/>
      <c r="D34" s="265">
        <v>2008</v>
      </c>
      <c r="E34" s="540">
        <v>26.3</v>
      </c>
      <c r="F34" s="265">
        <v>10.1</v>
      </c>
      <c r="G34" s="594">
        <f t="shared" si="1"/>
        <v>2.6039603960396041</v>
      </c>
      <c r="H34" s="265">
        <v>4</v>
      </c>
      <c r="I34" s="762">
        <v>4</v>
      </c>
    </row>
    <row r="35" spans="2:12" ht="18" customHeight="1" x14ac:dyDescent="0.25">
      <c r="B35" s="1230"/>
      <c r="C35" s="601"/>
      <c r="D35" s="265">
        <v>2009</v>
      </c>
      <c r="E35" s="540">
        <v>14.2</v>
      </c>
      <c r="F35" s="265">
        <v>6.5</v>
      </c>
      <c r="G35" s="594">
        <f t="shared" si="1"/>
        <v>2.1846153846153844</v>
      </c>
      <c r="H35" s="265">
        <v>9</v>
      </c>
      <c r="I35" s="762">
        <v>9</v>
      </c>
    </row>
    <row r="36" spans="2:12" ht="18" customHeight="1" x14ac:dyDescent="0.25">
      <c r="B36" s="1230"/>
      <c r="C36" s="601"/>
      <c r="D36" s="265">
        <v>2010</v>
      </c>
      <c r="E36" s="540">
        <v>13.1</v>
      </c>
      <c r="F36" s="265">
        <v>6.4</v>
      </c>
      <c r="G36" s="594">
        <f t="shared" si="1"/>
        <v>2.046875</v>
      </c>
      <c r="H36" s="265">
        <v>15</v>
      </c>
      <c r="I36" s="762">
        <v>15</v>
      </c>
    </row>
    <row r="37" spans="2:12" ht="18" customHeight="1" x14ac:dyDescent="0.25">
      <c r="B37" s="1230"/>
      <c r="C37" s="601"/>
      <c r="D37" s="265">
        <v>2011</v>
      </c>
      <c r="E37" s="540">
        <v>14.1</v>
      </c>
      <c r="F37" s="265">
        <v>10.5</v>
      </c>
      <c r="G37" s="594">
        <f t="shared" si="1"/>
        <v>1.3428571428571427</v>
      </c>
      <c r="H37" s="265">
        <v>20</v>
      </c>
      <c r="I37" s="762">
        <v>20</v>
      </c>
    </row>
    <row r="38" spans="2:12" ht="14.45" customHeight="1" x14ac:dyDescent="0.25">
      <c r="B38" s="1230"/>
      <c r="D38" s="265">
        <v>2012</v>
      </c>
      <c r="E38" s="540">
        <v>14.2</v>
      </c>
      <c r="F38" s="265">
        <v>6.2</v>
      </c>
      <c r="G38" s="594">
        <f t="shared" si="1"/>
        <v>2.290322580645161</v>
      </c>
      <c r="H38" s="265">
        <v>7</v>
      </c>
      <c r="I38" s="764">
        <v>7</v>
      </c>
    </row>
    <row r="39" spans="2:12" ht="14.45" customHeight="1" x14ac:dyDescent="0.25">
      <c r="B39" s="1230"/>
      <c r="D39" s="265">
        <v>2013</v>
      </c>
      <c r="E39" s="540">
        <v>15.3</v>
      </c>
      <c r="F39" s="265">
        <v>7.4</v>
      </c>
      <c r="G39" s="594">
        <f t="shared" si="1"/>
        <v>2.0675675675675675</v>
      </c>
      <c r="H39" s="265">
        <v>14</v>
      </c>
      <c r="I39" s="762">
        <v>14</v>
      </c>
    </row>
    <row r="40" spans="2:12" ht="14.45" customHeight="1" x14ac:dyDescent="0.25">
      <c r="B40" s="1230"/>
      <c r="D40" s="265">
        <v>2014</v>
      </c>
      <c r="E40" s="540">
        <v>17.2</v>
      </c>
      <c r="F40" s="265">
        <v>8.1999999999999993</v>
      </c>
      <c r="G40" s="594">
        <f t="shared" si="1"/>
        <v>2.0975609756097562</v>
      </c>
      <c r="H40" s="265">
        <v>11</v>
      </c>
      <c r="I40" s="764">
        <v>11</v>
      </c>
    </row>
    <row r="41" spans="2:12" ht="14.45" customHeight="1" x14ac:dyDescent="0.25">
      <c r="B41" s="1230"/>
      <c r="D41" s="265">
        <v>2015</v>
      </c>
      <c r="E41" s="540">
        <v>17.100000000000001</v>
      </c>
      <c r="F41" s="265">
        <v>8.8000000000000007</v>
      </c>
      <c r="G41" s="594">
        <f t="shared" si="1"/>
        <v>1.9431818181818181</v>
      </c>
      <c r="H41" s="265">
        <v>16</v>
      </c>
      <c r="I41" s="762">
        <v>16</v>
      </c>
    </row>
    <row r="42" spans="2:12" ht="14.45" customHeight="1" x14ac:dyDescent="0.25">
      <c r="B42" s="1230"/>
      <c r="D42" s="265">
        <v>2016</v>
      </c>
      <c r="E42" s="540">
        <v>19.100000000000001</v>
      </c>
      <c r="F42" s="265">
        <v>8.5</v>
      </c>
      <c r="G42" s="594">
        <f t="shared" si="1"/>
        <v>2.2470588235294118</v>
      </c>
      <c r="H42" s="265">
        <v>8</v>
      </c>
      <c r="I42" s="764">
        <v>8</v>
      </c>
    </row>
    <row r="43" spans="2:12" ht="14.45" customHeight="1" x14ac:dyDescent="0.25">
      <c r="B43" s="1230"/>
      <c r="D43" s="265">
        <v>2017</v>
      </c>
      <c r="E43" s="540">
        <v>24.7</v>
      </c>
      <c r="F43" s="265">
        <v>11.9</v>
      </c>
      <c r="G43" s="594">
        <f t="shared" si="1"/>
        <v>2.0756302521008401</v>
      </c>
      <c r="H43" s="265">
        <v>13</v>
      </c>
      <c r="I43" s="762">
        <v>13</v>
      </c>
    </row>
    <row r="44" spans="2:12" ht="14.45" customHeight="1" x14ac:dyDescent="0.25">
      <c r="B44" s="1230"/>
      <c r="D44" s="265">
        <v>2018</v>
      </c>
      <c r="E44" s="540">
        <v>42.2</v>
      </c>
      <c r="F44" s="265">
        <v>20.3</v>
      </c>
      <c r="G44" s="594">
        <f t="shared" si="1"/>
        <v>2.0788177339901477</v>
      </c>
      <c r="H44" s="265">
        <v>12</v>
      </c>
      <c r="I44" s="762">
        <v>12</v>
      </c>
    </row>
    <row r="45" spans="2:12" ht="14.45" customHeight="1" x14ac:dyDescent="0.25">
      <c r="B45" s="1230"/>
      <c r="D45" s="265">
        <v>2019</v>
      </c>
      <c r="E45" s="540">
        <v>20.5</v>
      </c>
      <c r="F45" s="265">
        <v>11.8</v>
      </c>
      <c r="G45" s="594">
        <f t="shared" si="1"/>
        <v>1.7372881355932202</v>
      </c>
      <c r="H45" s="265">
        <v>18</v>
      </c>
      <c r="I45" s="762">
        <v>18</v>
      </c>
    </row>
    <row r="46" spans="2:12" ht="15" customHeight="1" thickBot="1" x14ac:dyDescent="0.3">
      <c r="B46" s="1230"/>
      <c r="D46" s="265">
        <v>2020</v>
      </c>
      <c r="E46" s="540">
        <v>27.2</v>
      </c>
      <c r="F46" s="265">
        <v>14.6</v>
      </c>
      <c r="G46" s="594">
        <f t="shared" si="1"/>
        <v>1.8630136986301369</v>
      </c>
      <c r="H46" s="265">
        <v>17</v>
      </c>
      <c r="I46" s="762">
        <v>17</v>
      </c>
    </row>
    <row r="47" spans="2:12" ht="14.45" customHeight="1" x14ac:dyDescent="0.25">
      <c r="B47" s="1230"/>
      <c r="D47" s="265">
        <v>2021</v>
      </c>
      <c r="E47" s="540">
        <v>83.5</v>
      </c>
      <c r="F47" s="265">
        <v>36.08</v>
      </c>
      <c r="G47" s="594">
        <f t="shared" si="1"/>
        <v>2.3143015521064303</v>
      </c>
      <c r="H47" s="265">
        <v>6</v>
      </c>
      <c r="I47" s="762">
        <v>6</v>
      </c>
      <c r="J47" s="1232" t="s">
        <v>447</v>
      </c>
      <c r="K47" s="1233"/>
      <c r="L47" s="1234"/>
    </row>
    <row r="48" spans="2:12" ht="15" customHeight="1" thickBot="1" x14ac:dyDescent="0.3">
      <c r="B48" s="1230"/>
      <c r="D48" s="265">
        <v>2022</v>
      </c>
      <c r="E48" s="540">
        <v>90.1</v>
      </c>
      <c r="F48" s="265">
        <v>64.27</v>
      </c>
      <c r="G48" s="594">
        <f t="shared" si="1"/>
        <v>1.4018982417924382</v>
      </c>
      <c r="H48" s="265">
        <v>19</v>
      </c>
      <c r="I48" s="762">
        <v>19</v>
      </c>
      <c r="J48" s="1235"/>
      <c r="K48" s="1236"/>
      <c r="L48" s="1237"/>
    </row>
    <row r="49" spans="2:12" ht="43.15" customHeight="1" thickBot="1" x14ac:dyDescent="0.3">
      <c r="B49" s="1231"/>
      <c r="D49" s="95">
        <v>2023</v>
      </c>
      <c r="E49" s="596">
        <v>77.099999999999994</v>
      </c>
      <c r="F49" s="95">
        <v>64.77</v>
      </c>
      <c r="G49" s="596">
        <f t="shared" si="1"/>
        <v>1.1903659101435851</v>
      </c>
      <c r="H49" s="95">
        <v>21</v>
      </c>
      <c r="I49" s="756">
        <v>22</v>
      </c>
      <c r="J49" s="754" t="s">
        <v>253</v>
      </c>
      <c r="K49" s="751" t="s">
        <v>448</v>
      </c>
      <c r="L49" s="752" t="s">
        <v>419</v>
      </c>
    </row>
    <row r="50" spans="2:12" ht="22.15" customHeight="1" thickBot="1" x14ac:dyDescent="0.3">
      <c r="D50" s="761">
        <v>2024</v>
      </c>
      <c r="E50" s="634">
        <f>'BAŞ SAYFA'!L5</f>
        <v>55.2</v>
      </c>
      <c r="F50" s="761">
        <v>44.38</v>
      </c>
      <c r="G50" s="634">
        <f t="shared" si="1"/>
        <v>1.2438035150968905</v>
      </c>
      <c r="H50" s="763"/>
      <c r="I50" s="756">
        <v>21</v>
      </c>
    </row>
    <row r="51" spans="2:12" ht="43.15" customHeight="1" x14ac:dyDescent="0.25">
      <c r="E51" s="599"/>
      <c r="F51" s="604"/>
      <c r="G51" s="600"/>
      <c r="I51" s="1238" t="s">
        <v>456</v>
      </c>
      <c r="J51" s="753" t="s">
        <v>449</v>
      </c>
      <c r="K51" s="746" t="s">
        <v>458</v>
      </c>
      <c r="L51" s="747" t="s">
        <v>450</v>
      </c>
    </row>
    <row r="52" spans="2:12" ht="32.25" thickBot="1" x14ac:dyDescent="0.3">
      <c r="I52" s="1239"/>
      <c r="J52" s="748" t="s">
        <v>421</v>
      </c>
      <c r="K52" s="749" t="s">
        <v>420</v>
      </c>
      <c r="L52" s="750" t="s">
        <v>451</v>
      </c>
    </row>
    <row r="53" spans="2:12" ht="28.9" customHeight="1" thickBot="1" x14ac:dyDescent="0.3"/>
    <row r="54" spans="2:12" ht="28.9" customHeight="1" x14ac:dyDescent="0.25">
      <c r="I54" s="1238" t="s">
        <v>457</v>
      </c>
      <c r="J54" s="771">
        <v>0.52</v>
      </c>
      <c r="K54" s="746" t="s">
        <v>458</v>
      </c>
      <c r="L54" s="747" t="s">
        <v>423</v>
      </c>
    </row>
    <row r="55" spans="2:12" ht="32.25" thickBot="1" x14ac:dyDescent="0.3">
      <c r="I55" s="1239"/>
      <c r="J55" s="748" t="s">
        <v>421</v>
      </c>
      <c r="K55" s="749" t="s">
        <v>420</v>
      </c>
      <c r="L55" s="750" t="s">
        <v>422</v>
      </c>
    </row>
    <row r="56" spans="2:12" ht="28.9" customHeight="1" x14ac:dyDescent="0.25"/>
    <row r="57" spans="2:12" ht="15.75" x14ac:dyDescent="0.25">
      <c r="J57" s="47" t="s">
        <v>454</v>
      </c>
      <c r="K57" s="744"/>
      <c r="L57" s="745"/>
    </row>
    <row r="58" spans="2:12" x14ac:dyDescent="0.25">
      <c r="J58" s="609" t="s">
        <v>421</v>
      </c>
      <c r="K58" s="743" t="s">
        <v>455</v>
      </c>
      <c r="L58" s="609"/>
    </row>
    <row r="64" spans="2:12" ht="14.45" customHeight="1" x14ac:dyDescent="0.25"/>
    <row r="65" spans="8:12" ht="15" customHeight="1" x14ac:dyDescent="0.25"/>
    <row r="66" spans="8:12" ht="20.45" customHeight="1" x14ac:dyDescent="0.25">
      <c r="H66" s="1240" t="s">
        <v>459</v>
      </c>
      <c r="I66" s="1240"/>
      <c r="J66" s="1240"/>
      <c r="K66" s="1240"/>
      <c r="L66" s="1240"/>
    </row>
    <row r="67" spans="8:12" ht="15" customHeight="1" x14ac:dyDescent="0.25">
      <c r="H67" s="1241" t="s">
        <v>447</v>
      </c>
      <c r="I67" s="1241"/>
      <c r="J67" s="1241"/>
      <c r="K67" s="1241"/>
      <c r="L67" s="1241"/>
    </row>
    <row r="68" spans="8:12" ht="15" customHeight="1" x14ac:dyDescent="0.25">
      <c r="H68" s="1241"/>
      <c r="I68" s="1241"/>
      <c r="J68" s="1241"/>
      <c r="K68" s="1241"/>
      <c r="L68" s="1241"/>
    </row>
    <row r="69" spans="8:12" ht="31.9" customHeight="1" thickBot="1" x14ac:dyDescent="0.3">
      <c r="H69" s="769"/>
      <c r="I69" s="770"/>
      <c r="J69" s="773" t="s">
        <v>253</v>
      </c>
      <c r="K69" s="1242" t="s">
        <v>448</v>
      </c>
      <c r="L69" s="1243"/>
    </row>
    <row r="70" spans="8:12" ht="15.75" thickBot="1" x14ac:dyDescent="0.3">
      <c r="I70" s="770"/>
    </row>
    <row r="71" spans="8:12" ht="23.45" customHeight="1" x14ac:dyDescent="0.25">
      <c r="H71" s="1223" t="s">
        <v>456</v>
      </c>
      <c r="I71" s="1223"/>
      <c r="J71" s="772">
        <v>0.54</v>
      </c>
      <c r="K71" s="1225" t="s">
        <v>458</v>
      </c>
      <c r="L71" s="1226"/>
    </row>
    <row r="72" spans="8:12" ht="28.15" customHeight="1" thickBot="1" x14ac:dyDescent="0.3">
      <c r="H72" s="1223"/>
      <c r="I72" s="1223"/>
      <c r="J72" s="748" t="s">
        <v>421</v>
      </c>
      <c r="K72" s="1227" t="s">
        <v>420</v>
      </c>
      <c r="L72" s="1228"/>
    </row>
    <row r="73" spans="8:12" ht="19.5" thickBot="1" x14ac:dyDescent="0.35">
      <c r="H73" s="13"/>
      <c r="I73" s="13"/>
      <c r="K73" s="533"/>
      <c r="L73" s="533"/>
    </row>
    <row r="74" spans="8:12" ht="21" customHeight="1" x14ac:dyDescent="0.25">
      <c r="H74" s="1223" t="s">
        <v>460</v>
      </c>
      <c r="I74" s="1223"/>
      <c r="J74" s="771">
        <v>0.52</v>
      </c>
      <c r="K74" s="1225" t="s">
        <v>458</v>
      </c>
      <c r="L74" s="1226"/>
    </row>
    <row r="75" spans="8:12" ht="36.6" customHeight="1" thickBot="1" x14ac:dyDescent="0.3">
      <c r="H75" s="1223"/>
      <c r="I75" s="1223"/>
      <c r="J75" s="748" t="s">
        <v>421</v>
      </c>
      <c r="K75" s="1227" t="s">
        <v>420</v>
      </c>
      <c r="L75" s="1228"/>
    </row>
    <row r="76" spans="8:12" ht="15.75" thickBot="1" x14ac:dyDescent="0.3">
      <c r="H76" s="13"/>
      <c r="I76" s="13"/>
    </row>
    <row r="77" spans="8:12" ht="21" customHeight="1" x14ac:dyDescent="0.25">
      <c r="H77" s="1223" t="s">
        <v>461</v>
      </c>
      <c r="I77" s="1223"/>
      <c r="J77" s="774">
        <v>78.5</v>
      </c>
      <c r="K77" s="1225" t="s">
        <v>452</v>
      </c>
      <c r="L77" s="1226"/>
    </row>
    <row r="78" spans="8:12" ht="18.600000000000001" customHeight="1" x14ac:dyDescent="0.25">
      <c r="H78" s="1223"/>
      <c r="I78" s="1223"/>
      <c r="J78" s="949" t="s">
        <v>421</v>
      </c>
      <c r="K78" s="1224" t="s">
        <v>453</v>
      </c>
      <c r="L78" s="1224"/>
    </row>
    <row r="79" spans="8:12" ht="14.45" customHeight="1" x14ac:dyDescent="0.25">
      <c r="H79" s="1223"/>
      <c r="I79" s="1223"/>
      <c r="J79" s="949"/>
      <c r="K79" s="1224"/>
      <c r="L79" s="1224"/>
    </row>
    <row r="83" spans="4:17" ht="228" x14ac:dyDescent="0.25">
      <c r="D83" s="616" t="s">
        <v>317</v>
      </c>
      <c r="E83" s="601"/>
      <c r="F83" s="602" t="s">
        <v>97</v>
      </c>
      <c r="G83" s="603" t="s">
        <v>466</v>
      </c>
      <c r="H83" s="782" t="s">
        <v>463</v>
      </c>
      <c r="I83" s="781" t="s">
        <v>315</v>
      </c>
      <c r="J83" s="783" t="s">
        <v>465</v>
      </c>
      <c r="K83" s="785" t="s">
        <v>464</v>
      </c>
      <c r="L83" s="789" t="s">
        <v>467</v>
      </c>
    </row>
    <row r="84" spans="4:17" ht="18.75" x14ac:dyDescent="0.25">
      <c r="D84" s="1229">
        <v>21</v>
      </c>
      <c r="E84" s="601"/>
      <c r="F84" s="265">
        <v>3</v>
      </c>
      <c r="G84" s="540">
        <v>39.200000000000003</v>
      </c>
      <c r="H84" s="265">
        <v>18.399999999999999</v>
      </c>
      <c r="I84" s="594">
        <f t="shared" ref="I84:I105" si="2">G84/H84</f>
        <v>2.1304347826086958</v>
      </c>
      <c r="J84" s="784">
        <f>I84*H105</f>
        <v>94.548695652173919</v>
      </c>
      <c r="K84" s="786">
        <v>74.900000000000006</v>
      </c>
      <c r="L84" s="790">
        <f>(1.392/1.184)-1</f>
        <v>0.17567567567567566</v>
      </c>
      <c r="N84" s="265">
        <v>3</v>
      </c>
    </row>
    <row r="85" spans="4:17" ht="18.75" x14ac:dyDescent="0.25">
      <c r="D85" s="1230"/>
      <c r="E85" s="601"/>
      <c r="F85" s="265">
        <v>4</v>
      </c>
      <c r="G85" s="540">
        <v>40.299999999999997</v>
      </c>
      <c r="H85" s="265">
        <v>9.3000000000000007</v>
      </c>
      <c r="I85" s="594">
        <f t="shared" si="2"/>
        <v>4.333333333333333</v>
      </c>
      <c r="J85" s="784">
        <f>I85*H105</f>
        <v>192.31333333333333</v>
      </c>
      <c r="K85" s="786">
        <v>247.5</v>
      </c>
      <c r="L85" s="790">
        <f>(1.403/1.093)-1</f>
        <v>0.28362305580969815</v>
      </c>
      <c r="N85" s="265">
        <v>4</v>
      </c>
    </row>
    <row r="86" spans="4:17" ht="18.75" x14ac:dyDescent="0.25">
      <c r="D86" s="1230"/>
      <c r="E86" s="601"/>
      <c r="F86" s="265">
        <v>5</v>
      </c>
      <c r="G86" s="540">
        <v>26.8</v>
      </c>
      <c r="H86" s="265">
        <v>7.7</v>
      </c>
      <c r="I86" s="594">
        <f t="shared" si="2"/>
        <v>3.4805194805194803</v>
      </c>
      <c r="J86" s="784">
        <f>I86*H105</f>
        <v>154.46545454545455</v>
      </c>
      <c r="K86" s="786">
        <v>180.7</v>
      </c>
      <c r="L86" s="790">
        <f>(1.268/1.077)-1</f>
        <v>0.17734447539461473</v>
      </c>
      <c r="N86" s="265">
        <v>5</v>
      </c>
    </row>
    <row r="87" spans="4:17" ht="18.75" x14ac:dyDescent="0.25">
      <c r="D87" s="1230"/>
      <c r="E87" s="601"/>
      <c r="F87" s="265">
        <v>6</v>
      </c>
      <c r="G87" s="540">
        <v>25.1</v>
      </c>
      <c r="H87" s="265">
        <v>9.6999999999999993</v>
      </c>
      <c r="I87" s="594">
        <f t="shared" si="2"/>
        <v>2.5876288659793816</v>
      </c>
      <c r="J87" s="784">
        <f>I87*H105</f>
        <v>114.83896907216496</v>
      </c>
      <c r="K87" s="786">
        <v>110.8</v>
      </c>
      <c r="L87" s="790">
        <f>(1.251/1.097)-1</f>
        <v>0.14038286235186859</v>
      </c>
      <c r="N87" s="265">
        <v>6</v>
      </c>
    </row>
    <row r="88" spans="4:17" ht="18.75" x14ac:dyDescent="0.25">
      <c r="D88" s="1230"/>
      <c r="E88" s="601"/>
      <c r="F88" s="265">
        <v>7</v>
      </c>
      <c r="G88" s="599">
        <v>54.2</v>
      </c>
      <c r="H88" s="604">
        <v>8.4</v>
      </c>
      <c r="I88" s="600">
        <f t="shared" si="2"/>
        <v>6.4523809523809526</v>
      </c>
      <c r="J88" s="784">
        <f>I88*H105</f>
        <v>286.35666666666668</v>
      </c>
      <c r="K88" s="786">
        <v>413.5</v>
      </c>
      <c r="L88" s="790">
        <f>(1.542/1.084)-1</f>
        <v>0.42250922509225086</v>
      </c>
      <c r="N88" s="265">
        <v>7</v>
      </c>
    </row>
    <row r="89" spans="4:17" ht="18.75" x14ac:dyDescent="0.25">
      <c r="D89" s="1230"/>
      <c r="E89" s="601"/>
      <c r="F89" s="265">
        <v>8</v>
      </c>
      <c r="G89" s="540">
        <v>26.3</v>
      </c>
      <c r="H89" s="265">
        <v>10.1</v>
      </c>
      <c r="I89" s="594">
        <f t="shared" si="2"/>
        <v>2.6039603960396041</v>
      </c>
      <c r="J89" s="784">
        <f>I89*H105</f>
        <v>115.56376237623763</v>
      </c>
      <c r="K89" s="786">
        <v>112</v>
      </c>
      <c r="L89" s="790">
        <f>(1.263/1.101)-1</f>
        <v>0.14713896457765663</v>
      </c>
      <c r="N89" s="265">
        <v>8</v>
      </c>
    </row>
    <row r="90" spans="4:17" ht="18.75" x14ac:dyDescent="0.25">
      <c r="D90" s="1230"/>
      <c r="E90" s="601"/>
      <c r="F90" s="265">
        <v>9</v>
      </c>
      <c r="G90" s="540">
        <v>14.2</v>
      </c>
      <c r="H90" s="265">
        <v>6.5</v>
      </c>
      <c r="I90" s="594">
        <f t="shared" si="2"/>
        <v>2.1846153846153844</v>
      </c>
      <c r="J90" s="784">
        <f>I90*H105</f>
        <v>96.953230769230771</v>
      </c>
      <c r="K90" s="786">
        <v>79.2</v>
      </c>
      <c r="L90" s="790">
        <f>(1.142/1.065)-1</f>
        <v>7.2300469483568053E-2</v>
      </c>
      <c r="N90" s="265">
        <v>9</v>
      </c>
      <c r="Q90" s="265"/>
    </row>
    <row r="91" spans="4:17" ht="18.75" x14ac:dyDescent="0.25">
      <c r="D91" s="1230"/>
      <c r="E91" s="601"/>
      <c r="F91" s="265">
        <v>10</v>
      </c>
      <c r="G91" s="540">
        <v>13.1</v>
      </c>
      <c r="H91" s="265">
        <v>6.4</v>
      </c>
      <c r="I91" s="594">
        <f t="shared" si="2"/>
        <v>2.046875</v>
      </c>
      <c r="J91" s="784">
        <f>I91*H105</f>
        <v>90.84031250000001</v>
      </c>
      <c r="K91" s="786">
        <v>68.400000000000006</v>
      </c>
      <c r="L91" s="790">
        <f>(1.131/1.064)-1</f>
        <v>6.296992481203012E-2</v>
      </c>
      <c r="N91" s="265">
        <v>10</v>
      </c>
    </row>
    <row r="92" spans="4:17" ht="18.75" x14ac:dyDescent="0.25">
      <c r="D92" s="1230"/>
      <c r="E92" s="601"/>
      <c r="F92" s="265">
        <v>11</v>
      </c>
      <c r="G92" s="540">
        <v>14.1</v>
      </c>
      <c r="H92" s="265">
        <v>10.5</v>
      </c>
      <c r="I92" s="594">
        <f t="shared" si="2"/>
        <v>1.3428571428571427</v>
      </c>
      <c r="J92" s="784">
        <f>I92*H105</f>
        <v>59.595999999999997</v>
      </c>
      <c r="K92" s="786">
        <v>13.2</v>
      </c>
      <c r="L92" s="790">
        <f>(1.141/1.105)-1</f>
        <v>3.2579185520362097E-2</v>
      </c>
      <c r="N92" s="265">
        <v>11</v>
      </c>
    </row>
    <row r="93" spans="4:17" ht="18.75" x14ac:dyDescent="0.25">
      <c r="D93" s="1230"/>
      <c r="F93" s="265">
        <v>12</v>
      </c>
      <c r="G93" s="540">
        <v>14.2</v>
      </c>
      <c r="H93" s="265">
        <v>6.2</v>
      </c>
      <c r="I93" s="594">
        <f t="shared" si="2"/>
        <v>2.290322580645161</v>
      </c>
      <c r="J93" s="784">
        <f>I93*H105</f>
        <v>101.64451612903225</v>
      </c>
      <c r="K93" s="786">
        <v>87.5</v>
      </c>
      <c r="L93" s="790">
        <f>(1.142/1.062)-1</f>
        <v>7.5329566854990482E-2</v>
      </c>
      <c r="N93" s="265">
        <v>12</v>
      </c>
    </row>
    <row r="94" spans="4:17" ht="18.75" x14ac:dyDescent="0.25">
      <c r="D94" s="1230"/>
      <c r="F94" s="265">
        <v>13</v>
      </c>
      <c r="G94" s="540">
        <v>15.3</v>
      </c>
      <c r="H94" s="265">
        <v>7.4</v>
      </c>
      <c r="I94" s="594">
        <f t="shared" si="2"/>
        <v>2.0675675675675675</v>
      </c>
      <c r="J94" s="784">
        <f>I94*H105</f>
        <v>91.758648648648659</v>
      </c>
      <c r="K94" s="786">
        <v>70</v>
      </c>
      <c r="L94" s="790">
        <f>(1.153/1.074)-1</f>
        <v>7.3556797020484233E-2</v>
      </c>
      <c r="N94" s="265">
        <v>13</v>
      </c>
    </row>
    <row r="95" spans="4:17" ht="18.75" x14ac:dyDescent="0.25">
      <c r="D95" s="1230"/>
      <c r="F95" s="265">
        <v>14</v>
      </c>
      <c r="G95" s="540">
        <v>17.2</v>
      </c>
      <c r="H95" s="265">
        <v>8.1999999999999993</v>
      </c>
      <c r="I95" s="594">
        <f t="shared" si="2"/>
        <v>2.0975609756097562</v>
      </c>
      <c r="J95" s="784">
        <f>I95*H105</f>
        <v>93.089756097560979</v>
      </c>
      <c r="K95" s="786">
        <v>72.400000000000006</v>
      </c>
      <c r="L95" s="790">
        <f>(1.172/1.082)-1</f>
        <v>8.3179297597042456E-2</v>
      </c>
      <c r="N95" s="265">
        <v>14</v>
      </c>
    </row>
    <row r="96" spans="4:17" ht="18.75" x14ac:dyDescent="0.25">
      <c r="D96" s="1230"/>
      <c r="F96" s="265">
        <v>15</v>
      </c>
      <c r="G96" s="540">
        <v>17.100000000000001</v>
      </c>
      <c r="H96" s="265">
        <v>8.8000000000000007</v>
      </c>
      <c r="I96" s="594">
        <f t="shared" si="2"/>
        <v>1.9431818181818181</v>
      </c>
      <c r="J96" s="784">
        <f>I96*H105</f>
        <v>86.238409090909087</v>
      </c>
      <c r="K96" s="786">
        <v>60.3</v>
      </c>
      <c r="L96" s="790">
        <f>(1.171/1.088)-1</f>
        <v>7.6286764705882248E-2</v>
      </c>
      <c r="N96" s="265">
        <v>15</v>
      </c>
    </row>
    <row r="97" spans="4:14" ht="18.75" x14ac:dyDescent="0.25">
      <c r="D97" s="1230"/>
      <c r="F97" s="265">
        <v>16</v>
      </c>
      <c r="G97" s="540">
        <v>19.100000000000001</v>
      </c>
      <c r="H97" s="265">
        <v>8.5</v>
      </c>
      <c r="I97" s="594">
        <f t="shared" si="2"/>
        <v>2.2470588235294118</v>
      </c>
      <c r="J97" s="784">
        <f>I97*H105</f>
        <v>99.724470588235306</v>
      </c>
      <c r="K97" s="786">
        <v>84.1</v>
      </c>
      <c r="L97" s="790">
        <f>(1.191/1.085)-1</f>
        <v>9.7695852534562366E-2</v>
      </c>
      <c r="N97" s="265">
        <v>16</v>
      </c>
    </row>
    <row r="98" spans="4:14" ht="18.75" x14ac:dyDescent="0.25">
      <c r="D98" s="1230"/>
      <c r="F98" s="265">
        <v>17</v>
      </c>
      <c r="G98" s="540">
        <v>24.7</v>
      </c>
      <c r="H98" s="265">
        <v>11.9</v>
      </c>
      <c r="I98" s="594">
        <f t="shared" si="2"/>
        <v>2.0756302521008401</v>
      </c>
      <c r="J98" s="784">
        <f>I98*H105</f>
        <v>92.116470588235288</v>
      </c>
      <c r="K98" s="786">
        <v>70.599999999999994</v>
      </c>
      <c r="L98" s="790">
        <f>(1.247/1.119)-1</f>
        <v>0.1143878462913317</v>
      </c>
      <c r="N98" s="265">
        <v>17</v>
      </c>
    </row>
    <row r="99" spans="4:14" ht="18.75" x14ac:dyDescent="0.25">
      <c r="D99" s="1230"/>
      <c r="F99" s="265">
        <v>18</v>
      </c>
      <c r="G99" s="540">
        <v>42.2</v>
      </c>
      <c r="H99" s="265">
        <v>20.3</v>
      </c>
      <c r="I99" s="594">
        <f t="shared" si="2"/>
        <v>2.0788177339901477</v>
      </c>
      <c r="J99" s="784">
        <f>I99*H105</f>
        <v>92.257931034482766</v>
      </c>
      <c r="K99" s="786">
        <v>70.900000000000006</v>
      </c>
      <c r="L99" s="790">
        <f>(1.422/1.203)-1</f>
        <v>0.1820448877805485</v>
      </c>
      <c r="N99" s="265">
        <v>18</v>
      </c>
    </row>
    <row r="100" spans="4:14" ht="18.75" x14ac:dyDescent="0.25">
      <c r="D100" s="1230"/>
      <c r="F100" s="265">
        <v>19</v>
      </c>
      <c r="G100" s="540">
        <v>20.5</v>
      </c>
      <c r="H100" s="265">
        <v>11.8</v>
      </c>
      <c r="I100" s="594">
        <f t="shared" si="2"/>
        <v>1.7372881355932202</v>
      </c>
      <c r="J100" s="784">
        <f>I100*H105</f>
        <v>77.100847457627111</v>
      </c>
      <c r="K100" s="786">
        <v>44.1</v>
      </c>
      <c r="L100" s="790">
        <f>(1.205/1.118)-1</f>
        <v>7.7817531305903298E-2</v>
      </c>
      <c r="N100" s="265">
        <v>19</v>
      </c>
    </row>
    <row r="101" spans="4:14" ht="18.75" x14ac:dyDescent="0.25">
      <c r="D101" s="1230"/>
      <c r="F101" s="265">
        <v>20</v>
      </c>
      <c r="G101" s="540">
        <v>27.2</v>
      </c>
      <c r="H101" s="265">
        <v>14.6</v>
      </c>
      <c r="I101" s="594">
        <f t="shared" si="2"/>
        <v>1.8630136986301369</v>
      </c>
      <c r="J101" s="784">
        <f>I101*H105</f>
        <v>82.680547945205475</v>
      </c>
      <c r="K101" s="786">
        <v>54</v>
      </c>
      <c r="L101" s="790">
        <f>(1.272/1.146)-1</f>
        <v>0.10994764397905765</v>
      </c>
      <c r="N101" s="265">
        <v>20</v>
      </c>
    </row>
    <row r="102" spans="4:14" ht="18.75" x14ac:dyDescent="0.25">
      <c r="D102" s="1230"/>
      <c r="F102" s="265">
        <v>21</v>
      </c>
      <c r="G102" s="540">
        <v>83.5</v>
      </c>
      <c r="H102" s="265">
        <v>36.08</v>
      </c>
      <c r="I102" s="594">
        <f t="shared" si="2"/>
        <v>2.3143015521064303</v>
      </c>
      <c r="J102" s="784">
        <f>I102*H105</f>
        <v>102.70870288248338</v>
      </c>
      <c r="K102" s="786">
        <v>89.3</v>
      </c>
      <c r="L102" s="790">
        <f>(1.835/1.3608)-1</f>
        <v>0.34847148736037625</v>
      </c>
      <c r="N102" s="265">
        <v>21</v>
      </c>
    </row>
    <row r="103" spans="4:14" ht="18.75" x14ac:dyDescent="0.25">
      <c r="D103" s="1230"/>
      <c r="F103" s="265">
        <v>22</v>
      </c>
      <c r="G103" s="540">
        <v>90.1</v>
      </c>
      <c r="H103" s="265">
        <v>64.27</v>
      </c>
      <c r="I103" s="594">
        <f t="shared" si="2"/>
        <v>1.4018982417924382</v>
      </c>
      <c r="J103" s="784">
        <f>I103*H105</f>
        <v>62.216243970748408</v>
      </c>
      <c r="K103" s="786">
        <v>17.8</v>
      </c>
      <c r="L103" s="790">
        <f>(1.901/1.6427)-1</f>
        <v>0.15724112741218721</v>
      </c>
      <c r="N103" s="265">
        <v>22</v>
      </c>
    </row>
    <row r="104" spans="4:14" ht="18.75" x14ac:dyDescent="0.25">
      <c r="D104" s="1231"/>
      <c r="F104" s="265">
        <v>23</v>
      </c>
      <c r="G104" s="540">
        <v>77.099999999999994</v>
      </c>
      <c r="H104" s="265">
        <v>64.77</v>
      </c>
      <c r="I104" s="594">
        <f t="shared" si="2"/>
        <v>1.1903659101435851</v>
      </c>
      <c r="J104" s="784">
        <f>I104*H105</f>
        <v>52.82843909217231</v>
      </c>
      <c r="K104" s="786">
        <v>1.3</v>
      </c>
      <c r="L104" s="790">
        <f>(1.771/1.6477)-1</f>
        <v>7.4831583419311842E-2</v>
      </c>
      <c r="N104" s="265">
        <v>23</v>
      </c>
    </row>
    <row r="105" spans="4:14" ht="18.75" x14ac:dyDescent="0.25">
      <c r="F105" s="787">
        <v>24</v>
      </c>
      <c r="G105" s="787">
        <v>54</v>
      </c>
      <c r="H105" s="787">
        <v>44.38</v>
      </c>
      <c r="I105" s="788">
        <f t="shared" si="2"/>
        <v>1.2167643082469579</v>
      </c>
      <c r="J105" s="596">
        <f>G105</f>
        <v>54</v>
      </c>
      <c r="K105" s="617">
        <v>3.3</v>
      </c>
      <c r="L105" s="790">
        <f>(1.54/1.4438)-1</f>
        <v>6.6629727109017933E-2</v>
      </c>
      <c r="N105" s="787">
        <v>24</v>
      </c>
    </row>
  </sheetData>
  <sheetProtection algorithmName="SHA-512" hashValue="sCr+cDv04aPcwyxboACAInVPnuM3DRv3ZW4aGQ2ZrX8wSQSiua1xgtUKUevQlEflrm4UnlX3qam47MRHG5SsOA==" saltValue="m3u3nc1XcPPef4XzkUeGPQ==" spinCount="100000" sheet="1" objects="1" scenarios="1"/>
  <sortState ref="D5:J25">
    <sortCondition descending="1" ref="G6:G25"/>
  </sortState>
  <mergeCells count="19">
    <mergeCell ref="D84:D104"/>
    <mergeCell ref="J47:L48"/>
    <mergeCell ref="B29:B49"/>
    <mergeCell ref="I51:I52"/>
    <mergeCell ref="I54:I55"/>
    <mergeCell ref="H66:L66"/>
    <mergeCell ref="H67:L68"/>
    <mergeCell ref="K69:L69"/>
    <mergeCell ref="K71:L71"/>
    <mergeCell ref="K72:L72"/>
    <mergeCell ref="K77:L77"/>
    <mergeCell ref="H71:I72"/>
    <mergeCell ref="B6:B27"/>
    <mergeCell ref="H74:I75"/>
    <mergeCell ref="H77:I79"/>
    <mergeCell ref="J78:J79"/>
    <mergeCell ref="K78:L79"/>
    <mergeCell ref="K74:L74"/>
    <mergeCell ref="K75:L7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59"/>
  <sheetViews>
    <sheetView topLeftCell="D16" zoomScale="58" zoomScaleNormal="58" workbookViewId="0">
      <selection activeCell="P38" sqref="P38"/>
    </sheetView>
  </sheetViews>
  <sheetFormatPr defaultColWidth="9.140625" defaultRowHeight="15" x14ac:dyDescent="0.25"/>
  <cols>
    <col min="1" max="1" width="48.5703125" style="1" customWidth="1"/>
    <col min="2" max="2" width="26.7109375" style="1" customWidth="1"/>
    <col min="3" max="3" width="28" style="2" customWidth="1"/>
    <col min="4" max="4" width="25.28515625" style="2" customWidth="1"/>
    <col min="5" max="5" width="26.85546875" style="1" customWidth="1"/>
    <col min="6" max="6" width="29.28515625" style="1" customWidth="1"/>
    <col min="7" max="7" width="23.5703125" style="2" customWidth="1"/>
    <col min="8" max="8" width="26.42578125" style="2" customWidth="1"/>
    <col min="9" max="9" width="16.28515625" style="1" customWidth="1"/>
    <col min="10" max="10" width="25.7109375" style="1" customWidth="1"/>
    <col min="11" max="11" width="14.140625" style="2" customWidth="1"/>
    <col min="12" max="12" width="22.28515625" style="2" customWidth="1"/>
    <col min="13" max="13" width="18.140625" style="1" customWidth="1"/>
    <col min="14" max="14" width="27.28515625" style="1" customWidth="1"/>
    <col min="15" max="15" width="14.7109375" style="2" customWidth="1"/>
    <col min="16" max="16" width="23" style="2" customWidth="1"/>
    <col min="17" max="17" width="17.28515625" style="1" customWidth="1"/>
    <col min="18" max="18" width="28.42578125" style="1" customWidth="1"/>
    <col min="19" max="19" width="14.28515625" style="2" customWidth="1"/>
    <col min="20" max="20" width="21.5703125" style="2" customWidth="1"/>
    <col min="21" max="21" width="16.28515625" style="1" customWidth="1"/>
    <col min="22" max="22" width="27.7109375" style="1" customWidth="1"/>
    <col min="23" max="23" width="19.140625" style="1" customWidth="1"/>
    <col min="24" max="24" width="26.5703125" style="1" customWidth="1"/>
    <col min="25" max="25" width="17.28515625" style="1" customWidth="1"/>
    <col min="26" max="28" width="9.140625" style="1"/>
    <col min="29" max="29" width="16.42578125" style="1" customWidth="1"/>
    <col min="30" max="16384" width="9.140625" style="1"/>
  </cols>
  <sheetData>
    <row r="1" spans="1:24" ht="1.9" hidden="1" customHeight="1" thickTop="1" thickBot="1" x14ac:dyDescent="0.3">
      <c r="A1" s="11"/>
      <c r="B1" s="90" t="s">
        <v>155</v>
      </c>
      <c r="C1" s="90" t="s">
        <v>156</v>
      </c>
      <c r="D1" s="90" t="s">
        <v>53</v>
      </c>
      <c r="E1" s="90" t="s">
        <v>54</v>
      </c>
      <c r="F1" s="90" t="s">
        <v>157</v>
      </c>
      <c r="G1" s="373" t="s">
        <v>157</v>
      </c>
    </row>
    <row r="2" spans="1:24" ht="80.45" hidden="1" customHeight="1" thickTop="1" thickBot="1" x14ac:dyDescent="0.3">
      <c r="A2" s="82" t="s">
        <v>70</v>
      </c>
      <c r="B2" s="204">
        <f>'AYRINTILI BİLGİLER'!M3</f>
        <v>90.1</v>
      </c>
      <c r="C2" s="205">
        <f>'AYRINTILI BİLGİLER'!M4</f>
        <v>77.099999999999994</v>
      </c>
      <c r="D2" s="205">
        <f>'AYRINTILI BİLGİLER'!M5</f>
        <v>55.2</v>
      </c>
      <c r="E2" s="205">
        <f>'AYRINTILI BİLGİLER'!M6</f>
        <v>75</v>
      </c>
      <c r="F2" s="206">
        <f>'AYRINTILI BİLGİLER'!M7</f>
        <v>65</v>
      </c>
      <c r="G2" s="206">
        <f>'AYRINTILI BİLGİLER'!M8</f>
        <v>65</v>
      </c>
      <c r="H2" s="368"/>
      <c r="I2" s="369"/>
    </row>
    <row r="3" spans="1:24" ht="108.6" hidden="1" customHeight="1" thickTop="1" thickBot="1" x14ac:dyDescent="0.3">
      <c r="A3" s="117" t="s">
        <v>72</v>
      </c>
      <c r="B3" s="207">
        <f>'AYRINTILI BİLGİLER'!L3</f>
        <v>50</v>
      </c>
      <c r="C3" s="207">
        <f>'AYRINTILI BİLGİLER'!L4</f>
        <v>50</v>
      </c>
      <c r="D3" s="207">
        <f>'AYRINTILI BİLGİLER'!L5</f>
        <v>50</v>
      </c>
      <c r="E3" s="207">
        <f>'AYRINTILI BİLGİLER'!L6</f>
        <v>50</v>
      </c>
      <c r="F3" s="375">
        <f>'AYRINTILI BİLGİLER'!L7</f>
        <v>50</v>
      </c>
      <c r="G3" s="375">
        <f>'AYRINTILI BİLGİLER'!L8</f>
        <v>50</v>
      </c>
      <c r="H3" s="370"/>
      <c r="I3" s="371"/>
    </row>
    <row r="4" spans="1:24" ht="203.45" hidden="1" customHeight="1" thickTop="1" thickBot="1" x14ac:dyDescent="0.3">
      <c r="A4" s="116" t="s">
        <v>71</v>
      </c>
      <c r="B4" s="208">
        <f>'AYRINTILI BİLGİLER'!N3</f>
        <v>1</v>
      </c>
      <c r="C4" s="208">
        <f>'AYRINTILI BİLGİLER'!N4</f>
        <v>1</v>
      </c>
      <c r="D4" s="208">
        <f>'AYRINTILI BİLGİLER'!N5</f>
        <v>1</v>
      </c>
      <c r="E4" s="208">
        <f>'AYRINTILI BİLGİLER'!N6</f>
        <v>1</v>
      </c>
      <c r="F4" s="374">
        <f>'AYRINTILI BİLGİLER'!N7</f>
        <v>1</v>
      </c>
      <c r="G4" s="374">
        <f>'AYRINTILI BİLGİLER'!N8</f>
        <v>1</v>
      </c>
      <c r="H4" s="372"/>
      <c r="I4" s="372"/>
    </row>
    <row r="5" spans="1:24" ht="129.6" hidden="1" customHeight="1" thickTop="1" thickBot="1" x14ac:dyDescent="0.6">
      <c r="A5" s="1277" t="s">
        <v>43</v>
      </c>
      <c r="B5" s="1278"/>
      <c r="C5" s="1278"/>
      <c r="D5" s="1279"/>
      <c r="E5" s="2"/>
      <c r="F5" s="2"/>
    </row>
    <row r="6" spans="1:24" ht="78" hidden="1" customHeight="1" thickTop="1" x14ac:dyDescent="0.25">
      <c r="A6"/>
      <c r="B6" s="94" t="s">
        <v>38</v>
      </c>
      <c r="C6" s="95" t="s">
        <v>37</v>
      </c>
      <c r="D6" s="94" t="s">
        <v>42</v>
      </c>
      <c r="E6" s="2"/>
      <c r="F6" s="2"/>
    </row>
    <row r="7" spans="1:24" ht="72.599999999999994" hidden="1" customHeight="1" x14ac:dyDescent="0.25">
      <c r="A7" s="96" t="s">
        <v>150</v>
      </c>
      <c r="B7" s="99">
        <f>D46</f>
        <v>1329935.0990117926</v>
      </c>
      <c r="C7" s="99">
        <f>D43</f>
        <v>39245.31311209382</v>
      </c>
      <c r="D7" s="102">
        <f>B2</f>
        <v>90.1</v>
      </c>
      <c r="E7" s="2"/>
      <c r="F7" s="2"/>
    </row>
    <row r="8" spans="1:24" ht="64.150000000000006" hidden="1" customHeight="1" x14ac:dyDescent="0.25">
      <c r="A8" s="97" t="s">
        <v>151</v>
      </c>
      <c r="B8" s="100">
        <f>H46</f>
        <v>1982817.7516085305</v>
      </c>
      <c r="C8" s="100">
        <f>H43</f>
        <v>53806.411011396638</v>
      </c>
      <c r="D8" s="103">
        <f>C2</f>
        <v>77.099999999999994</v>
      </c>
      <c r="E8" s="2"/>
      <c r="F8" s="2"/>
    </row>
    <row r="9" spans="1:24" ht="71.45" hidden="1" customHeight="1" x14ac:dyDescent="0.25">
      <c r="A9" s="98" t="s">
        <v>152</v>
      </c>
      <c r="B9" s="101">
        <f>L46</f>
        <v>2622042.2999212435</v>
      </c>
      <c r="C9" s="101">
        <f>L43</f>
        <v>56780.967774334131</v>
      </c>
      <c r="D9" s="104">
        <f>D2</f>
        <v>55.2</v>
      </c>
      <c r="E9" s="2"/>
      <c r="F9" s="2"/>
    </row>
    <row r="10" spans="1:24" ht="57" hidden="1" customHeight="1" x14ac:dyDescent="0.25">
      <c r="A10" s="96" t="s">
        <v>153</v>
      </c>
      <c r="B10" s="99">
        <f>P46</f>
        <v>3638867.3462584633</v>
      </c>
      <c r="C10" s="99">
        <f>P43</f>
        <v>95370.495949100063</v>
      </c>
      <c r="D10" s="102">
        <f>E2</f>
        <v>75</v>
      </c>
      <c r="E10" s="2"/>
      <c r="F10" s="2"/>
    </row>
    <row r="11" spans="1:24" ht="58.9" hidden="1" customHeight="1" x14ac:dyDescent="0.25">
      <c r="A11" s="97" t="s">
        <v>154</v>
      </c>
      <c r="B11" s="100">
        <f>T46</f>
        <v>5088780.9772289861</v>
      </c>
      <c r="C11" s="100">
        <f>T43</f>
        <v>122205.02681495629</v>
      </c>
      <c r="D11" s="103">
        <f>F2</f>
        <v>65</v>
      </c>
      <c r="E11" s="2"/>
      <c r="F11" s="2"/>
    </row>
    <row r="12" spans="1:24" ht="5.45" customHeight="1" thickBot="1" x14ac:dyDescent="0.3">
      <c r="C12" s="1"/>
      <c r="D12" s="1"/>
    </row>
    <row r="13" spans="1:24" s="11" customFormat="1" ht="57.75" thickTop="1" thickBot="1" x14ac:dyDescent="0.3">
      <c r="B13" s="62" t="s">
        <v>17</v>
      </c>
      <c r="C13" s="364" t="s">
        <v>13</v>
      </c>
      <c r="D13" s="63">
        <v>392280</v>
      </c>
      <c r="E13" s="316">
        <f>E52*10</f>
        <v>392446.31793383864</v>
      </c>
      <c r="F13" s="62" t="s">
        <v>18</v>
      </c>
      <c r="G13" s="365" t="s">
        <v>14</v>
      </c>
      <c r="H13" s="316">
        <f>H52*10</f>
        <v>538064.11011396628</v>
      </c>
      <c r="I13" s="13"/>
      <c r="J13" s="20" t="s">
        <v>19</v>
      </c>
      <c r="K13" s="365" t="s">
        <v>15</v>
      </c>
      <c r="L13" s="316">
        <f>L52*10</f>
        <v>567809.67774334131</v>
      </c>
      <c r="N13" s="20" t="s">
        <v>149</v>
      </c>
      <c r="O13" s="365" t="s">
        <v>16</v>
      </c>
      <c r="P13" s="316">
        <f>P52*10</f>
        <v>953704.95949100063</v>
      </c>
      <c r="R13" s="20" t="s">
        <v>148</v>
      </c>
      <c r="S13" s="365" t="s">
        <v>213</v>
      </c>
      <c r="T13" s="316">
        <f>T52*10</f>
        <v>1222050.2681495629</v>
      </c>
      <c r="V13" s="20" t="s">
        <v>220</v>
      </c>
      <c r="W13" s="365" t="s">
        <v>221</v>
      </c>
      <c r="X13" s="316">
        <f>X52*10</f>
        <v>1664375.9174750398</v>
      </c>
    </row>
    <row r="14" spans="1:24" ht="28.5" customHeight="1" thickTop="1" x14ac:dyDescent="0.25">
      <c r="B14" s="1250">
        <v>2023</v>
      </c>
      <c r="C14" s="1251"/>
      <c r="D14" s="1252"/>
      <c r="F14" s="1250">
        <v>2024</v>
      </c>
      <c r="G14" s="1251"/>
      <c r="H14" s="1252"/>
      <c r="I14" s="13"/>
      <c r="J14" s="1273">
        <v>2025</v>
      </c>
      <c r="K14" s="1251"/>
      <c r="L14" s="1252"/>
      <c r="M14" s="13"/>
      <c r="N14" s="1250">
        <v>2026</v>
      </c>
      <c r="O14" s="1251"/>
      <c r="P14" s="1252"/>
      <c r="R14" s="1250">
        <v>2027</v>
      </c>
      <c r="S14" s="1251"/>
      <c r="T14" s="1252"/>
      <c r="V14" s="1250">
        <v>2028</v>
      </c>
      <c r="W14" s="1251"/>
      <c r="X14" s="1252"/>
    </row>
    <row r="15" spans="1:24" ht="33.75" customHeight="1" thickBot="1" x14ac:dyDescent="0.3">
      <c r="B15" s="1253"/>
      <c r="C15" s="1261"/>
      <c r="D15" s="1262"/>
      <c r="F15" s="1253"/>
      <c r="G15" s="1261"/>
      <c r="H15" s="1262"/>
      <c r="I15" s="13"/>
      <c r="J15" s="1253"/>
      <c r="K15" s="1261"/>
      <c r="L15" s="1262"/>
      <c r="M15" s="13"/>
      <c r="N15" s="1253"/>
      <c r="O15" s="1261"/>
      <c r="P15" s="1262"/>
      <c r="R15" s="1253"/>
      <c r="S15" s="1261"/>
      <c r="T15" s="1262"/>
      <c r="V15" s="1253"/>
      <c r="W15" s="1251"/>
      <c r="X15" s="1252"/>
    </row>
    <row r="16" spans="1:24" ht="30" customHeight="1" thickBot="1" x14ac:dyDescent="0.3">
      <c r="B16" s="37" t="s">
        <v>175</v>
      </c>
      <c r="C16" s="24">
        <f>'BAŞ SAYFA'!D7</f>
        <v>831266</v>
      </c>
      <c r="D16" s="216"/>
      <c r="F16" s="218" t="s">
        <v>26</v>
      </c>
      <c r="G16" s="24">
        <f>'BAŞ SAYFA'!D8</f>
        <v>1331466</v>
      </c>
      <c r="H16" s="25"/>
      <c r="I16" s="13"/>
      <c r="J16" s="8" t="s">
        <v>27</v>
      </c>
      <c r="K16" s="24">
        <f>'BAŞ SAYFA'!D9</f>
        <v>1981635.34</v>
      </c>
      <c r="L16" s="25"/>
      <c r="M16" s="13" t="s">
        <v>22</v>
      </c>
      <c r="N16" s="8" t="s">
        <v>28</v>
      </c>
      <c r="O16" s="24">
        <f>L46</f>
        <v>2622042.2999212435</v>
      </c>
      <c r="P16" s="25"/>
      <c r="R16" s="8" t="s">
        <v>161</v>
      </c>
      <c r="S16" s="24">
        <f>P46</f>
        <v>3638867.3462584633</v>
      </c>
      <c r="T16" s="25"/>
      <c r="V16" s="366" t="s">
        <v>214</v>
      </c>
      <c r="W16" s="25"/>
      <c r="X16" s="25"/>
    </row>
    <row r="17" spans="2:29" ht="43.15" customHeight="1" thickBot="1" x14ac:dyDescent="0.3">
      <c r="B17" s="29" t="s">
        <v>78</v>
      </c>
      <c r="C17" s="24">
        <f>'GİRDİ SEKMESİ'!D6</f>
        <v>6641</v>
      </c>
      <c r="D17" s="217">
        <f>'BAŞ SAYFA'!E7</f>
        <v>22386</v>
      </c>
      <c r="F17" s="219" t="s">
        <v>219</v>
      </c>
      <c r="G17" s="24">
        <f>D17</f>
        <v>22386</v>
      </c>
      <c r="H17" s="30">
        <f>'BAŞ SAYFA'!E8</f>
        <v>39250</v>
      </c>
      <c r="I17" s="13"/>
      <c r="J17" s="29" t="s">
        <v>218</v>
      </c>
      <c r="K17" s="24">
        <f>'BAŞ SAYFA'!E8</f>
        <v>39250</v>
      </c>
      <c r="L17" s="30">
        <f>'BAŞ SAYFA'!E9</f>
        <v>53694</v>
      </c>
      <c r="M17" s="13">
        <f>(K17*4)+(L17*8)</f>
        <v>586552</v>
      </c>
      <c r="N17" s="29" t="s">
        <v>217</v>
      </c>
      <c r="O17" s="24">
        <f>L17</f>
        <v>53694</v>
      </c>
      <c r="P17" s="30">
        <f>L43</f>
        <v>56780.967774334131</v>
      </c>
      <c r="R17" s="29" t="s">
        <v>216</v>
      </c>
      <c r="S17" s="24">
        <f>P17</f>
        <v>56780.967774334131</v>
      </c>
      <c r="T17" s="30">
        <f>P43</f>
        <v>95370.495949100063</v>
      </c>
      <c r="V17" s="367" t="s">
        <v>215</v>
      </c>
      <c r="W17" s="24">
        <f>T17</f>
        <v>95370.495949100063</v>
      </c>
      <c r="X17" s="30">
        <f>T43</f>
        <v>122205.02681495629</v>
      </c>
    </row>
    <row r="18" spans="2:29" ht="15.75" thickBot="1" x14ac:dyDescent="0.3">
      <c r="B18" s="8" t="s">
        <v>23</v>
      </c>
      <c r="C18" s="26">
        <f>C16+(D17*12)</f>
        <v>1099898</v>
      </c>
      <c r="D18" s="25"/>
      <c r="F18" s="8" t="s">
        <v>23</v>
      </c>
      <c r="G18" s="26">
        <f>G16+(H17*12)</f>
        <v>1802466</v>
      </c>
      <c r="H18" s="25"/>
      <c r="J18" s="8" t="s">
        <v>23</v>
      </c>
      <c r="K18" s="26">
        <f>K16+(12*L17)</f>
        <v>2625963.34</v>
      </c>
      <c r="L18" s="25"/>
      <c r="N18" s="8" t="s">
        <v>23</v>
      </c>
      <c r="O18" s="26">
        <f>L47</f>
        <v>3303413.913213253</v>
      </c>
      <c r="P18" s="25"/>
      <c r="R18" s="8" t="s">
        <v>23</v>
      </c>
      <c r="S18" s="26">
        <f>P47</f>
        <v>4783313.2976476643</v>
      </c>
      <c r="T18" s="25"/>
      <c r="V18" s="366" t="s">
        <v>23</v>
      </c>
      <c r="W18" s="26">
        <f>T47</f>
        <v>6555241.2990084616</v>
      </c>
      <c r="X18" s="25"/>
    </row>
    <row r="19" spans="2:29" ht="15.75" thickBot="1" x14ac:dyDescent="0.3">
      <c r="B19" s="1263"/>
      <c r="C19" s="1283"/>
      <c r="D19" s="1284"/>
      <c r="F19" s="1263"/>
      <c r="G19" s="1264"/>
      <c r="H19" s="1265"/>
      <c r="J19" s="1263"/>
      <c r="K19" s="1264"/>
      <c r="L19" s="1265"/>
      <c r="N19" s="1263"/>
      <c r="O19" s="1264"/>
      <c r="P19" s="1265"/>
      <c r="R19" s="1263"/>
      <c r="S19" s="1264"/>
      <c r="T19" s="1265"/>
    </row>
    <row r="20" spans="2:29" ht="26.45" customHeight="1" thickBot="1" x14ac:dyDescent="0.3">
      <c r="B20" s="121" t="s">
        <v>55</v>
      </c>
      <c r="C20" s="123">
        <f>B2</f>
        <v>90.1</v>
      </c>
      <c r="D20" s="1"/>
      <c r="F20" s="9" t="s">
        <v>56</v>
      </c>
      <c r="G20" s="123">
        <f>C2</f>
        <v>77.099999999999994</v>
      </c>
      <c r="H20" s="1"/>
      <c r="J20" s="9" t="s">
        <v>57</v>
      </c>
      <c r="K20" s="123">
        <f>D2</f>
        <v>55.2</v>
      </c>
      <c r="L20" s="1"/>
      <c r="N20" s="9" t="s">
        <v>58</v>
      </c>
      <c r="O20" s="123">
        <f>E2</f>
        <v>75</v>
      </c>
      <c r="P20" s="1"/>
      <c r="R20" s="9" t="s">
        <v>174</v>
      </c>
      <c r="S20" s="123">
        <f>F2</f>
        <v>65</v>
      </c>
      <c r="T20" s="1"/>
      <c r="V20" s="121" t="s">
        <v>222</v>
      </c>
      <c r="W20" s="123">
        <f>G2</f>
        <v>65</v>
      </c>
    </row>
    <row r="21" spans="2:29" ht="54.6" customHeight="1" thickBot="1" x14ac:dyDescent="0.3">
      <c r="B21" s="122" t="s">
        <v>1</v>
      </c>
      <c r="C21" s="124">
        <f>C20/12</f>
        <v>7.5083333333333329</v>
      </c>
      <c r="D21" s="297">
        <f>C20/365</f>
        <v>0.24684931506849314</v>
      </c>
      <c r="E21" s="352" t="s">
        <v>211</v>
      </c>
      <c r="F21" s="351" t="s">
        <v>184</v>
      </c>
      <c r="G21" s="61">
        <f>G20/12</f>
        <v>6.4249999999999998</v>
      </c>
      <c r="H21" s="297">
        <f>G20/365</f>
        <v>0.21123287671232877</v>
      </c>
      <c r="I21" s="357" t="s">
        <v>206</v>
      </c>
      <c r="J21" s="28" t="s">
        <v>184</v>
      </c>
      <c r="K21" s="61">
        <f>K20/12</f>
        <v>4.6000000000000005</v>
      </c>
      <c r="L21" s="297">
        <f>K20/365</f>
        <v>0.15123287671232877</v>
      </c>
      <c r="M21" s="357" t="s">
        <v>206</v>
      </c>
      <c r="N21" s="28" t="s">
        <v>184</v>
      </c>
      <c r="O21" s="61">
        <f>O20/12</f>
        <v>6.25</v>
      </c>
      <c r="P21" s="297">
        <f>O20/365</f>
        <v>0.20547945205479451</v>
      </c>
      <c r="Q21" s="357" t="s">
        <v>206</v>
      </c>
      <c r="R21" s="28" t="s">
        <v>184</v>
      </c>
      <c r="S21" s="61">
        <f>S20/12</f>
        <v>5.416666666666667</v>
      </c>
      <c r="T21" s="297">
        <f>S20/365</f>
        <v>0.17808219178082191</v>
      </c>
      <c r="U21" s="357" t="s">
        <v>206</v>
      </c>
      <c r="V21" s="28" t="s">
        <v>184</v>
      </c>
      <c r="W21" s="376">
        <f>W20/12</f>
        <v>5.416666666666667</v>
      </c>
      <c r="X21" s="297">
        <f>W20/365</f>
        <v>0.17808219178082191</v>
      </c>
      <c r="Y21" s="357" t="s">
        <v>206</v>
      </c>
      <c r="AC21" s="357" t="s">
        <v>206</v>
      </c>
    </row>
    <row r="22" spans="2:29" ht="45.75" thickBot="1" x14ac:dyDescent="0.3">
      <c r="B22" s="1263"/>
      <c r="C22" s="1282"/>
      <c r="D22" s="1282"/>
      <c r="E22" s="358" t="s">
        <v>207</v>
      </c>
      <c r="F22" s="1264" t="s">
        <v>183</v>
      </c>
      <c r="G22" s="1264"/>
      <c r="H22" s="1264"/>
      <c r="I22" s="356" t="s">
        <v>205</v>
      </c>
      <c r="J22" s="1264"/>
      <c r="K22" s="1264"/>
      <c r="L22" s="1264"/>
      <c r="M22" s="356" t="s">
        <v>204</v>
      </c>
      <c r="N22" s="360"/>
      <c r="O22" s="360"/>
      <c r="Q22" s="356" t="s">
        <v>208</v>
      </c>
      <c r="R22" s="1263"/>
      <c r="S22" s="1264"/>
      <c r="T22" s="1265"/>
      <c r="U22" s="356" t="s">
        <v>209</v>
      </c>
      <c r="Y22" s="356" t="s">
        <v>210</v>
      </c>
      <c r="AC22" s="356" t="s">
        <v>210</v>
      </c>
    </row>
    <row r="23" spans="2:29" ht="19.5" thickBot="1" x14ac:dyDescent="0.3">
      <c r="B23" s="310" t="s">
        <v>2</v>
      </c>
      <c r="C23" s="306"/>
      <c r="D23" s="306" t="s">
        <v>212</v>
      </c>
      <c r="E23" s="300">
        <f>E24+E25+E26+E27+E28+E29+E30+E31+E32+E33+E34+E35-I23</f>
        <v>919604.78109041101</v>
      </c>
      <c r="F23" s="1254" t="s">
        <v>211</v>
      </c>
      <c r="G23" s="1255"/>
      <c r="H23" s="1256"/>
      <c r="I23" s="377">
        <f>(I24+I25+I26+I27+I28+I29+I30+I31+I32+I33+I34+I35)</f>
        <v>937.56825753424664</v>
      </c>
      <c r="J23" s="1254" t="s">
        <v>211</v>
      </c>
      <c r="K23" s="1255"/>
      <c r="L23" s="1256"/>
      <c r="M23" s="424">
        <f>(M24+M25+M26+M27+M28+M29+M30+M31+M32+M33+M34+M35)</f>
        <v>1633.5905753424656</v>
      </c>
      <c r="N23" s="361" t="s">
        <v>211</v>
      </c>
      <c r="O23" s="362"/>
      <c r="P23" s="363"/>
      <c r="Q23" s="424">
        <f>(Q24+Q25+Q26+Q27+Q28+Q29+Q30+Q31+Q32+Q33+Q34+Q35)</f>
        <v>1730.4307726027394</v>
      </c>
      <c r="R23" s="1254" t="s">
        <v>211</v>
      </c>
      <c r="S23" s="1255"/>
      <c r="T23" s="1256"/>
      <c r="U23" s="377">
        <f>U24+U25+U26+U27+U28+U29+U30+U31+U32+U33+U34+U35</f>
        <v>2736.7264702205703</v>
      </c>
      <c r="V23" s="1254" t="s">
        <v>211</v>
      </c>
      <c r="W23" s="1255"/>
      <c r="X23" s="1256"/>
      <c r="Y23" s="377">
        <f>Y24+Y25+Y26+Y27+Y28+Y29+Y30+Y31+Y32+Y33+Y34+Y35</f>
        <v>3388.8980922465271</v>
      </c>
      <c r="AC23" s="377">
        <f>AC24+AC25+AC26+AC27+AC28+AC29+AC30+AC31+AC32+AC33+AC34+AC35</f>
        <v>4745.1341580417884</v>
      </c>
    </row>
    <row r="24" spans="2:29" ht="16.5" thickBot="1" x14ac:dyDescent="0.3">
      <c r="B24" s="19">
        <v>1</v>
      </c>
      <c r="C24" s="18">
        <f>C18-C17</f>
        <v>1093257</v>
      </c>
      <c r="D24" s="170">
        <f>C24*C21/100</f>
        <v>82085.379749999993</v>
      </c>
      <c r="E24" s="299">
        <f>(((C18*D21)/100)*5)+(((C24*D21)/100)*12)</f>
        <v>45959.822394520546</v>
      </c>
      <c r="F24" s="19">
        <v>1</v>
      </c>
      <c r="G24" s="18">
        <f>G18-G17</f>
        <v>1780080</v>
      </c>
      <c r="H24" s="353">
        <f>(((G18*H21)/100)*5)+(((G24*H21)/100)*12)</f>
        <v>64158.374219178077</v>
      </c>
      <c r="I24" s="378">
        <f>((C17*D21)/100)*2</f>
        <v>32.786526027397258</v>
      </c>
      <c r="J24" s="354">
        <v>1</v>
      </c>
      <c r="K24" s="18">
        <f>K18-K17</f>
        <v>2586713.34</v>
      </c>
      <c r="L24" s="353">
        <f>(((K18*L21)/100)*5)+(((K24*L21)/100)*12)</f>
        <v>66800.131459068492</v>
      </c>
      <c r="M24" s="378">
        <f>((G17*H21)/100)*2</f>
        <v>94.57318356164383</v>
      </c>
      <c r="N24" s="354">
        <v>1</v>
      </c>
      <c r="O24" s="18">
        <f>O18-O17</f>
        <v>3249719.913213253</v>
      </c>
      <c r="P24" s="353">
        <f>(((O18*P21)/100)*5)+(((O24*P21)/100)*12)</f>
        <v>114069.26409169582</v>
      </c>
      <c r="Q24" s="378">
        <f>((K17*L21)/100)*2</f>
        <v>118.71780821917808</v>
      </c>
      <c r="R24" s="6">
        <v>1</v>
      </c>
      <c r="S24" s="18">
        <f>S18-S17</f>
        <v>4726532.32987333</v>
      </c>
      <c r="T24" s="353">
        <f>(((S18*T21)/100)*5)+(((S24*T21)/100)*12)</f>
        <v>143596.49422018323</v>
      </c>
      <c r="U24" s="378">
        <f>((O17*P21)/100)*2</f>
        <v>220.66027397260274</v>
      </c>
      <c r="V24" s="6">
        <v>1</v>
      </c>
      <c r="W24" s="18">
        <f>W18-W17</f>
        <v>6459870.8030593619</v>
      </c>
      <c r="X24" s="353">
        <f>(((W18*X21)/100)*5)+(((W24*X21)/100)*12)</f>
        <v>196415.14105654936</v>
      </c>
      <c r="Y24" s="378">
        <f>((S17*T21)/100)*2</f>
        <v>202.23358385379277</v>
      </c>
      <c r="AC24" s="378">
        <f>((W17*X21)/100)*2</f>
        <v>339.67573899679473</v>
      </c>
    </row>
    <row r="25" spans="2:29" ht="16.5" thickBot="1" x14ac:dyDescent="0.3">
      <c r="B25" s="19">
        <v>2</v>
      </c>
      <c r="C25" s="18">
        <f>C24-C17</f>
        <v>1086616</v>
      </c>
      <c r="D25" s="170">
        <f>C25*C21/100</f>
        <v>81586.751333333334</v>
      </c>
      <c r="E25" s="298">
        <f>(((C24*D21)/100)*18)+(((C25*D21)/100)*10)</f>
        <v>75399.595030136988</v>
      </c>
      <c r="F25" s="19">
        <v>2</v>
      </c>
      <c r="G25" s="18">
        <f>G24-G17</f>
        <v>1757694</v>
      </c>
      <c r="H25" s="353">
        <f>(((G24*H21)/100)*18)+(((G25*H21)/100)*11)</f>
        <v>108523.15905205479</v>
      </c>
      <c r="I25" s="300">
        <f>I24</f>
        <v>32.786526027397258</v>
      </c>
      <c r="J25" s="354">
        <v>2</v>
      </c>
      <c r="K25" s="18">
        <f>K24-K17</f>
        <v>2547463.34</v>
      </c>
      <c r="L25" s="353">
        <f>(((K24*L21)/100)*18)+(((K25*L21)/100)*10)</f>
        <v>108941.31885764384</v>
      </c>
      <c r="M25" s="300">
        <f>M24</f>
        <v>94.57318356164383</v>
      </c>
      <c r="N25" s="354">
        <v>2</v>
      </c>
      <c r="O25" s="18">
        <f>O24-O17</f>
        <v>3196025.913213253</v>
      </c>
      <c r="P25" s="353">
        <f>(((O24*P21)/100)*18)+(((O25*P21)/100)*10)</f>
        <v>185866.8854177488</v>
      </c>
      <c r="Q25" s="378">
        <f>Q24</f>
        <v>118.71780821917808</v>
      </c>
      <c r="R25" s="6">
        <v>2</v>
      </c>
      <c r="S25" s="18">
        <f>S24-S17</f>
        <v>4669751.3620989956</v>
      </c>
      <c r="T25" s="353">
        <f>(((S24*T21)/100)*18)+(((S25*T21)/100)*10)</f>
        <v>234667.97839222307</v>
      </c>
      <c r="U25" s="378">
        <f>U24</f>
        <v>220.66027397260274</v>
      </c>
      <c r="V25" s="6">
        <v>2</v>
      </c>
      <c r="W25" s="18">
        <f>W24-W17</f>
        <v>6364500.3071102621</v>
      </c>
      <c r="X25" s="353">
        <f>(((W24*X21)/100)*18)+(((W25*X21)/100)*11)</f>
        <v>331744.28929214488</v>
      </c>
      <c r="Y25" s="378">
        <f>Y24</f>
        <v>202.23358385379277</v>
      </c>
      <c r="AC25" s="378">
        <f>AC24</f>
        <v>339.67573899679473</v>
      </c>
    </row>
    <row r="26" spans="2:29" ht="16.5" thickBot="1" x14ac:dyDescent="0.3">
      <c r="B26" s="19">
        <v>3</v>
      </c>
      <c r="C26" s="18">
        <f>C25-C17</f>
        <v>1079975</v>
      </c>
      <c r="D26" s="170">
        <f>C26*C21/100</f>
        <v>81088.12291666666</v>
      </c>
      <c r="E26" s="298">
        <f>(((C25*D21)/100)*18)+(((C26*D21)/100)*13)</f>
        <v>82938.316336986289</v>
      </c>
      <c r="F26" s="19">
        <v>3</v>
      </c>
      <c r="G26" s="18">
        <f>G25-G17</f>
        <v>1735308</v>
      </c>
      <c r="H26" s="353">
        <f>(((G25*H21)/100)*18)+(((G26*H21)/100)*13)</f>
        <v>114482.92990684931</v>
      </c>
      <c r="I26" s="300">
        <f>I25</f>
        <v>32.786526027397258</v>
      </c>
      <c r="J26" s="354">
        <v>3</v>
      </c>
      <c r="K26" s="18">
        <f>K25-K17</f>
        <v>2508213.34</v>
      </c>
      <c r="L26" s="353">
        <f>(((K25*L21)/100)*18)+(((K26*L21)/100)*13)</f>
        <v>118658.99910706849</v>
      </c>
      <c r="M26" s="300">
        <f>M24</f>
        <v>94.57318356164383</v>
      </c>
      <c r="N26" s="354">
        <v>3</v>
      </c>
      <c r="O26" s="18">
        <f>O25-O17</f>
        <v>3142331.913213253</v>
      </c>
      <c r="P26" s="353">
        <f>(((O25*P21)/100)*18)+(((O26*P21)/100)*13)</f>
        <v>202148.18077317294</v>
      </c>
      <c r="Q26" s="378">
        <f>Q25</f>
        <v>118.71780821917808</v>
      </c>
      <c r="R26" s="6">
        <v>3</v>
      </c>
      <c r="S26" s="18">
        <f>S25-S17</f>
        <v>4612970.3943246612</v>
      </c>
      <c r="T26" s="353">
        <f>(((S25*T21)/100)*18)+(((S26*T21)/100)*13)</f>
        <v>256481.34457151132</v>
      </c>
      <c r="U26" s="378">
        <f>U25</f>
        <v>220.66027397260274</v>
      </c>
      <c r="V26" s="6">
        <v>3</v>
      </c>
      <c r="W26" s="18">
        <f>W25-W17</f>
        <v>6269129.8111611623</v>
      </c>
      <c r="X26" s="353">
        <f>(((W25*X21)/100)*18)+(((W26*X21)/100)*13)</f>
        <v>349147.3986232928</v>
      </c>
      <c r="Y26" s="378">
        <f>Y24</f>
        <v>202.23358385379277</v>
      </c>
      <c r="AC26" s="378">
        <f>AC24</f>
        <v>339.67573899679473</v>
      </c>
    </row>
    <row r="27" spans="2:29" ht="16.5" thickBot="1" x14ac:dyDescent="0.3">
      <c r="B27" s="19">
        <v>4</v>
      </c>
      <c r="C27" s="18">
        <f>C26-C17</f>
        <v>1073334</v>
      </c>
      <c r="D27" s="170">
        <f>C27*C21/100</f>
        <v>80589.494499999986</v>
      </c>
      <c r="E27" s="298">
        <f>(((C26*D21)/100)*18)+(((C27*D21)/100)*12)</f>
        <v>79780.607556164381</v>
      </c>
      <c r="F27" s="19">
        <v>4</v>
      </c>
      <c r="G27" s="18">
        <f>G26-G17</f>
        <v>1712922</v>
      </c>
      <c r="H27" s="353">
        <f>(((G26*H21)/100)*18)+(((G27*H21)/100)*12)</f>
        <v>109398.7911452055</v>
      </c>
      <c r="I27" s="300">
        <f>I26</f>
        <v>32.786526027397258</v>
      </c>
      <c r="J27" s="354">
        <v>4</v>
      </c>
      <c r="K27" s="18">
        <f>K26-K17</f>
        <v>2468963.34</v>
      </c>
      <c r="L27" s="353">
        <f>(((K26*L21)/100)*18)+(((K27*L21)/100)*12)</f>
        <v>113084.98879561643</v>
      </c>
      <c r="M27" s="300">
        <f>M24</f>
        <v>94.57318356164383</v>
      </c>
      <c r="N27" s="354">
        <v>4</v>
      </c>
      <c r="O27" s="18">
        <f>O26-O17</f>
        <v>3088637.913213253</v>
      </c>
      <c r="P27" s="353">
        <f>(((O26*P21)/100)*18)+(((O27*P21)/100)*12)</f>
        <v>192381.43026657039</v>
      </c>
      <c r="Q27" s="378">
        <f>Q26</f>
        <v>118.71780821917808</v>
      </c>
      <c r="R27" s="6">
        <v>4</v>
      </c>
      <c r="S27" s="18">
        <f>S26-S17</f>
        <v>4556189.4265503269</v>
      </c>
      <c r="T27" s="353">
        <f>(((S26*T21)/100)*18)+(((S27*T21)/100)*12)</f>
        <v>245232.96202929065</v>
      </c>
      <c r="U27" s="378">
        <f>U26</f>
        <v>220.66027397260274</v>
      </c>
      <c r="V27" s="6">
        <v>4</v>
      </c>
      <c r="W27" s="18">
        <f>W26-W17</f>
        <v>6173759.3152120626</v>
      </c>
      <c r="X27" s="353">
        <f>(((W26*X21)/100)*18)+(((W27*X21)/100)*12)</f>
        <v>332888.05876504019</v>
      </c>
      <c r="Y27" s="378">
        <f>Y24</f>
        <v>202.23358385379277</v>
      </c>
      <c r="AC27" s="378">
        <f>AC24</f>
        <v>339.67573899679473</v>
      </c>
    </row>
    <row r="28" spans="2:29" ht="16.5" thickBot="1" x14ac:dyDescent="0.3">
      <c r="B28" s="19">
        <v>5</v>
      </c>
      <c r="C28" s="18">
        <f>C27-C17</f>
        <v>1066693</v>
      </c>
      <c r="D28" s="170">
        <f>C28*C21/100</f>
        <v>80090.866083333327</v>
      </c>
      <c r="E28" s="298">
        <f>(((C27*D21)/100)*18)+(((C28*D21)/100)*13)</f>
        <v>81921.934030136981</v>
      </c>
      <c r="F28" s="19">
        <v>5</v>
      </c>
      <c r="G28" s="18">
        <f>G27-G17</f>
        <v>1690536</v>
      </c>
      <c r="H28" s="353">
        <f>(((G27*H21)/100)*18)+(((G28*H21)/100)*13)</f>
        <v>111551.16121643837</v>
      </c>
      <c r="I28" s="300">
        <f>I27</f>
        <v>32.786526027397258</v>
      </c>
      <c r="J28" s="354">
        <v>5</v>
      </c>
      <c r="K28" s="18">
        <f>K27-K17</f>
        <v>2429713.34</v>
      </c>
      <c r="L28" s="353">
        <f>(((K27*L21)/100)*18)+(((K28*L21)/100)*13)</f>
        <v>114978.74705227396</v>
      </c>
      <c r="M28" s="300">
        <f>M24</f>
        <v>94.57318356164383</v>
      </c>
      <c r="N28" s="354">
        <v>5</v>
      </c>
      <c r="O28" s="18">
        <f>O27-O17</f>
        <v>3034943.913213253</v>
      </c>
      <c r="P28" s="353">
        <f>(((O27*P21)/100)*18)+(((O28*P21)/100)*13)</f>
        <v>195307.71228002227</v>
      </c>
      <c r="Q28" s="378">
        <f>Q27</f>
        <v>118.71780821917808</v>
      </c>
      <c r="R28" s="6">
        <v>5</v>
      </c>
      <c r="S28" s="18">
        <f>S27-S17</f>
        <v>4499408.4587759925</v>
      </c>
      <c r="T28" s="353">
        <f>(((S27*T21)/100)*18)+(((S28*T21)/100)*13)</f>
        <v>250212.1034720437</v>
      </c>
      <c r="U28" s="378">
        <f>U27</f>
        <v>220.66027397260274</v>
      </c>
      <c r="V28" s="6">
        <v>5</v>
      </c>
      <c r="W28" s="18">
        <f>W27-W17</f>
        <v>6078388.8192629628</v>
      </c>
      <c r="X28" s="353">
        <f>(((W27*X21)/100)*18)+(((W28*X21)/100)*13)</f>
        <v>338617.45071439224</v>
      </c>
      <c r="Y28" s="378">
        <f>Y24</f>
        <v>202.23358385379277</v>
      </c>
      <c r="AC28" s="378">
        <f>AC24</f>
        <v>339.67573899679473</v>
      </c>
    </row>
    <row r="29" spans="2:29" ht="16.5" thickBot="1" x14ac:dyDescent="0.3">
      <c r="B29" s="19">
        <v>6</v>
      </c>
      <c r="C29" s="18">
        <f>C28-D17</f>
        <v>1044307</v>
      </c>
      <c r="D29" s="170">
        <f>C29*C21/100</f>
        <v>78410.05058333333</v>
      </c>
      <c r="E29" s="298">
        <f>(((C28*D21)/100)*18)+(((C29*D21)/100)*12)</f>
        <v>78330.614679452061</v>
      </c>
      <c r="F29" s="19">
        <v>6</v>
      </c>
      <c r="G29" s="18">
        <f>G28-H17</f>
        <v>1651286</v>
      </c>
      <c r="H29" s="353">
        <f>(((G28*H21)/100)*18)+(((G29*H21)/100)*12)</f>
        <v>106134.12789041098</v>
      </c>
      <c r="I29" s="300">
        <f>((D17*D21)/100)*2</f>
        <v>110.51937534246575</v>
      </c>
      <c r="J29" s="354">
        <v>6</v>
      </c>
      <c r="K29" s="18">
        <f>K28-L17</f>
        <v>2376019.34</v>
      </c>
      <c r="L29" s="353">
        <f>(((K28*L21)/100)*18)+(((K29*L21)/100)*12)</f>
        <v>109261.32562849314</v>
      </c>
      <c r="M29" s="300">
        <f>((H17*H21)/100)*2</f>
        <v>165.81780821917809</v>
      </c>
      <c r="N29" s="354">
        <v>6</v>
      </c>
      <c r="O29" s="18">
        <f>O28-P17</f>
        <v>2978162.9454389187</v>
      </c>
      <c r="P29" s="353">
        <f>(((O28*P21)/100)*18)+(((O29*P21)/100)*12)</f>
        <v>185685.50503377855</v>
      </c>
      <c r="Q29" s="378">
        <f>((L17*L21)/100)*2</f>
        <v>162.40596164383561</v>
      </c>
      <c r="R29" s="6">
        <v>6</v>
      </c>
      <c r="S29" s="18">
        <f>S28-T17</f>
        <v>4404037.9628268927</v>
      </c>
      <c r="T29" s="353">
        <f>(((S28*T21)/100)*18)+(((S29*T21)/100)*12)</f>
        <v>238341.30158281882</v>
      </c>
      <c r="U29" s="378">
        <f>((P17*P21)/100)*2</f>
        <v>233.34644290822246</v>
      </c>
      <c r="V29" s="6">
        <v>6</v>
      </c>
      <c r="W29" s="18">
        <f>W28-X17</f>
        <v>5956183.7924480066</v>
      </c>
      <c r="X29" s="353">
        <f>(((W28*X21)/100)*18)+(((W29*X21)/100)*12)</f>
        <v>322124.33634649619</v>
      </c>
      <c r="Y29" s="378">
        <f>((T17*T21)/100)*2</f>
        <v>339.67573899679473</v>
      </c>
      <c r="AC29" s="378">
        <f>((X17*X21)/100)*2</f>
        <v>435.25078043683061</v>
      </c>
    </row>
    <row r="30" spans="2:29" ht="16.5" thickBot="1" x14ac:dyDescent="0.3">
      <c r="B30" s="19">
        <v>7</v>
      </c>
      <c r="C30" s="18">
        <f>C29-D17</f>
        <v>1021921</v>
      </c>
      <c r="D30" s="170">
        <f>C30*C21/100</f>
        <v>76729.235083333333</v>
      </c>
      <c r="E30" s="298">
        <f>(((C29*D21)/100)*18)+(((C30*D21)/100)*13)</f>
        <v>79195.42903835616</v>
      </c>
      <c r="F30" s="19">
        <v>7</v>
      </c>
      <c r="G30" s="18">
        <f>G29-H17</f>
        <v>1612036</v>
      </c>
      <c r="H30" s="353">
        <f>(((G29*H21)/100)*18)+(((G30*H21)/100)*13)</f>
        <v>107052.01078356165</v>
      </c>
      <c r="I30" s="300">
        <f t="shared" ref="I30:I35" si="0">I29</f>
        <v>110.51937534246575</v>
      </c>
      <c r="J30" s="354">
        <v>7</v>
      </c>
      <c r="K30" s="18">
        <f>K29-L17</f>
        <v>2322325.34</v>
      </c>
      <c r="L30" s="353">
        <f>(((K29*L21)/100)*18)+(((K30*L21)/100)*13)</f>
        <v>110337.35562213698</v>
      </c>
      <c r="M30" s="300">
        <f>M29</f>
        <v>165.81780821917809</v>
      </c>
      <c r="N30" s="354">
        <v>7</v>
      </c>
      <c r="O30" s="18">
        <f>O29-P17</f>
        <v>2921381.9776645843</v>
      </c>
      <c r="P30" s="353">
        <f>(((O29*P21)/100)*18)+(((O30*P21)/100)*13)</f>
        <v>188188.14807028792</v>
      </c>
      <c r="Q30" s="378">
        <f t="shared" ref="Q30:Q35" si="1">Q29</f>
        <v>162.40596164383561</v>
      </c>
      <c r="R30" s="6">
        <v>7</v>
      </c>
      <c r="S30" s="18">
        <f>S29-T17</f>
        <v>4308667.466877793</v>
      </c>
      <c r="T30" s="353">
        <f>(((S29*T21)/100)*18)+(((S30*T21)/100)*13)</f>
        <v>240919.13495943008</v>
      </c>
      <c r="U30" s="378">
        <f t="shared" ref="U30:U35" si="2">U29</f>
        <v>233.34644290822246</v>
      </c>
      <c r="V30" s="6">
        <v>7</v>
      </c>
      <c r="W30" s="18">
        <f>W29-X17</f>
        <v>5833978.7656330504</v>
      </c>
      <c r="X30" s="353">
        <f>(((W29*X21)/100)*18)+(((W30*X21)/100)*13)</f>
        <v>325984.85189381079</v>
      </c>
      <c r="Y30" s="378">
        <f>Y29</f>
        <v>339.67573899679473</v>
      </c>
      <c r="AC30" s="378">
        <f>AC29</f>
        <v>435.25078043683061</v>
      </c>
    </row>
    <row r="31" spans="2:29" ht="16.5" thickBot="1" x14ac:dyDescent="0.3">
      <c r="B31" s="19">
        <v>8</v>
      </c>
      <c r="C31" s="18">
        <f>C30-D17</f>
        <v>999535</v>
      </c>
      <c r="D31" s="170">
        <f>C31*C21/100</f>
        <v>75048.419583333336</v>
      </c>
      <c r="E31" s="298">
        <f>(((C30*D21)/100)*18)+(((C31*D21)/100)*13)</f>
        <v>77482.378720547946</v>
      </c>
      <c r="F31" s="19">
        <v>8</v>
      </c>
      <c r="G31" s="18">
        <f>G30-H17</f>
        <v>1572786</v>
      </c>
      <c r="H31" s="353">
        <f>(((G30*H21)/100)*18)+(((G31*H21)/100)*13)</f>
        <v>104481.83475616437</v>
      </c>
      <c r="I31" s="300">
        <f t="shared" si="0"/>
        <v>110.51937534246575</v>
      </c>
      <c r="J31" s="354">
        <v>8</v>
      </c>
      <c r="K31" s="18">
        <f>K30-L17</f>
        <v>2268631.34</v>
      </c>
      <c r="L31" s="353">
        <f>(((K30*L21)/100)*18)+(((K31*L21)/100)*13)</f>
        <v>107820.06321665752</v>
      </c>
      <c r="M31" s="300">
        <f>M29</f>
        <v>165.81780821917809</v>
      </c>
      <c r="N31" s="354">
        <v>8</v>
      </c>
      <c r="O31" s="18">
        <f>O30-P17</f>
        <v>2864601.0098902499</v>
      </c>
      <c r="P31" s="353">
        <f>(((O30*P21)/100)*18)+(((O31*P21)/100)*13)</f>
        <v>184571.27820521046</v>
      </c>
      <c r="Q31" s="378">
        <f t="shared" si="1"/>
        <v>162.40596164383561</v>
      </c>
      <c r="R31" s="6">
        <v>8</v>
      </c>
      <c r="S31" s="18">
        <f>S30-T17</f>
        <v>4213296.9709286932</v>
      </c>
      <c r="T31" s="353">
        <f>(((S30*T21)/100)*18)+(((S31*T21)/100)*13)</f>
        <v>235654.1610049798</v>
      </c>
      <c r="U31" s="378">
        <f t="shared" si="2"/>
        <v>233.34644290822246</v>
      </c>
      <c r="V31" s="6">
        <v>8</v>
      </c>
      <c r="W31" s="18">
        <f>W30-X17</f>
        <v>5711773.7388180941</v>
      </c>
      <c r="X31" s="353">
        <f>(((W30*X21)/100)*18)+(((W31*X21)/100)*13)</f>
        <v>319238.46479703992</v>
      </c>
      <c r="Y31" s="378">
        <f>Y29</f>
        <v>339.67573899679473</v>
      </c>
      <c r="AC31" s="378">
        <f>AC29</f>
        <v>435.25078043683061</v>
      </c>
    </row>
    <row r="32" spans="2:29" ht="16.5" thickBot="1" x14ac:dyDescent="0.3">
      <c r="B32" s="19">
        <v>9</v>
      </c>
      <c r="C32" s="18">
        <f>C31-D17</f>
        <v>977149</v>
      </c>
      <c r="D32" s="170">
        <f>C32*C21/100</f>
        <v>73367.604083333339</v>
      </c>
      <c r="E32" s="298">
        <f>(((C31*D21)/100)*18)+(((C32*D21)/100)*12)</f>
        <v>73357.242789041091</v>
      </c>
      <c r="F32" s="19">
        <v>9</v>
      </c>
      <c r="G32" s="18">
        <f>G31-H17</f>
        <v>1533536</v>
      </c>
      <c r="H32" s="353">
        <f>(((G31*H21)/100)*18)+(((G32*H21)/100)*12)</f>
        <v>98672.32652054794</v>
      </c>
      <c r="I32" s="300">
        <f t="shared" si="0"/>
        <v>110.51937534246575</v>
      </c>
      <c r="J32" s="354">
        <v>9</v>
      </c>
      <c r="K32" s="18">
        <f>K31-L17</f>
        <v>2214937.34</v>
      </c>
      <c r="L32" s="353">
        <f>(((K31*L21)/100)*18)+(((K32*L21)/100)*12)</f>
        <v>101953.05735452054</v>
      </c>
      <c r="M32" s="300">
        <f>M29</f>
        <v>165.81780821917809</v>
      </c>
      <c r="N32" s="354">
        <v>9</v>
      </c>
      <c r="O32" s="18">
        <f>O31-P17</f>
        <v>2807820.0421159156</v>
      </c>
      <c r="P32" s="353">
        <f>(((O31*P21)/100)*18)+(((O32*P21)/100)*12)</f>
        <v>175184.9151029085</v>
      </c>
      <c r="Q32" s="378">
        <f t="shared" si="1"/>
        <v>162.40596164383561</v>
      </c>
      <c r="R32" s="6">
        <v>9</v>
      </c>
      <c r="S32" s="18">
        <f>S31-T17</f>
        <v>4117926.474979593</v>
      </c>
      <c r="T32" s="353">
        <f>(((S31*T21)/100)*18)+(((S32*T21)/100)*12)</f>
        <v>223055.89332796307</v>
      </c>
      <c r="U32" s="378">
        <f t="shared" si="2"/>
        <v>233.34644290822246</v>
      </c>
      <c r="V32" s="6">
        <v>9</v>
      </c>
      <c r="W32" s="18">
        <f>W31-X17</f>
        <v>5589568.7120031379</v>
      </c>
      <c r="X32" s="353">
        <f>(((W31*X21)/100)*18)+(((W32*X21)/100)*12)</f>
        <v>302538.05122683884</v>
      </c>
      <c r="Y32" s="378">
        <f>Y29</f>
        <v>339.67573899679473</v>
      </c>
      <c r="AC32" s="378">
        <f>AC29</f>
        <v>435.25078043683061</v>
      </c>
    </row>
    <row r="33" spans="1:29" ht="16.5" thickBot="1" x14ac:dyDescent="0.3">
      <c r="B33" s="19">
        <v>10</v>
      </c>
      <c r="C33" s="18">
        <f>C32-D17</f>
        <v>954763</v>
      </c>
      <c r="D33" s="170">
        <f>C33*C21/100</f>
        <v>71686.788583333328</v>
      </c>
      <c r="E33" s="298">
        <f>(((C32*D21)/100)*18)+(((C33*D21)/100)*13)</f>
        <v>74056.278084931517</v>
      </c>
      <c r="F33" s="19">
        <v>10</v>
      </c>
      <c r="G33" s="18">
        <f>G32-H17</f>
        <v>1494286</v>
      </c>
      <c r="H33" s="353">
        <f>(((G32*H21)/100)*18)+(((G33*H21)/100)*13)</f>
        <v>99341.482701369852</v>
      </c>
      <c r="I33" s="300">
        <f t="shared" si="0"/>
        <v>110.51937534246575</v>
      </c>
      <c r="J33" s="354">
        <v>10</v>
      </c>
      <c r="K33" s="18">
        <f>K32-L17</f>
        <v>2161243.34</v>
      </c>
      <c r="L33" s="353">
        <f>(((K32*L21)/100)*18)+(((K33*L21)/100)*13)</f>
        <v>102785.47840569862</v>
      </c>
      <c r="M33" s="300">
        <f>M29</f>
        <v>165.81780821917809</v>
      </c>
      <c r="N33" s="354">
        <v>10</v>
      </c>
      <c r="O33" s="18">
        <f>O32-P17</f>
        <v>2751039.0743415812</v>
      </c>
      <c r="P33" s="353">
        <f>(((O32*P21)/100)*18)+(((O33*P21)/100)*13)</f>
        <v>177337.53847505551</v>
      </c>
      <c r="Q33" s="378">
        <f t="shared" si="1"/>
        <v>162.40596164383561</v>
      </c>
      <c r="R33" s="6">
        <v>10</v>
      </c>
      <c r="S33" s="18">
        <f>S32-T17</f>
        <v>4022555.9790304927</v>
      </c>
      <c r="T33" s="353">
        <f>(((S32*T21)/100)*18)+(((S33*T21)/100)*13)</f>
        <v>225124.21309607915</v>
      </c>
      <c r="U33" s="378">
        <f t="shared" si="2"/>
        <v>233.34644290822246</v>
      </c>
      <c r="V33" s="6">
        <v>10</v>
      </c>
      <c r="W33" s="18">
        <f>W32-X17</f>
        <v>5467363.6851881817</v>
      </c>
      <c r="X33" s="353">
        <f>(((W32*X21)/100)*18)+(((W33*X21)/100)*13)</f>
        <v>305745.69060349819</v>
      </c>
      <c r="Y33" s="378">
        <f>Y29</f>
        <v>339.67573899679473</v>
      </c>
      <c r="AC33" s="378">
        <f>AC29</f>
        <v>435.25078043683061</v>
      </c>
    </row>
    <row r="34" spans="1:29" ht="16.5" thickBot="1" x14ac:dyDescent="0.3">
      <c r="B34" s="19">
        <v>11</v>
      </c>
      <c r="C34" s="18">
        <f>C33-D17</f>
        <v>932377</v>
      </c>
      <c r="D34" s="170">
        <f>C34*C21/100</f>
        <v>70005.973083333331</v>
      </c>
      <c r="E34" s="298">
        <f>(((C33*D21)/100)*18)+(((C34*D21)/100)*12)</f>
        <v>70041.661528767116</v>
      </c>
      <c r="F34" s="19">
        <v>11</v>
      </c>
      <c r="G34" s="18">
        <f>G33-H17</f>
        <v>1455036</v>
      </c>
      <c r="H34" s="353">
        <f>(((G33*H21)/100)*18)+(((G34*H21)/100)*12)</f>
        <v>93697.792273972605</v>
      </c>
      <c r="I34" s="300">
        <f t="shared" si="0"/>
        <v>110.51937534246575</v>
      </c>
      <c r="J34" s="354">
        <v>11</v>
      </c>
      <c r="K34" s="18">
        <f>K33-L17</f>
        <v>2107549.34</v>
      </c>
      <c r="L34" s="353">
        <f>(((K33*L21)/100)*18)+(((K34*L21)/100)*12)</f>
        <v>97080.878505205474</v>
      </c>
      <c r="M34" s="300">
        <f>M29</f>
        <v>165.81780821917809</v>
      </c>
      <c r="N34" s="354">
        <v>11</v>
      </c>
      <c r="O34" s="18">
        <f>O33-P17</f>
        <v>2694258.1065672468</v>
      </c>
      <c r="P34" s="353">
        <f>(((O33*P21)/100)*18)+(((O34*P21)/100)*12)</f>
        <v>168184.52181566181</v>
      </c>
      <c r="Q34" s="378">
        <f t="shared" si="1"/>
        <v>162.40596164383561</v>
      </c>
      <c r="R34" s="6">
        <v>11</v>
      </c>
      <c r="S34" s="18">
        <f>S33-T17</f>
        <v>3927185.4830813925</v>
      </c>
      <c r="T34" s="353">
        <f>(((S33*T21)/100)*18)+(((S34*T21)/100)*12)</f>
        <v>212865.62115805925</v>
      </c>
      <c r="U34" s="378">
        <f t="shared" si="2"/>
        <v>233.34644290822246</v>
      </c>
      <c r="V34" s="6">
        <v>11</v>
      </c>
      <c r="W34" s="18">
        <f>W33-X17</f>
        <v>5345158.6583732255</v>
      </c>
      <c r="X34" s="353">
        <f>(((W33*X21)/100)*18)+(((W34*X21)/100)*12)</f>
        <v>289480.5278137339</v>
      </c>
      <c r="Y34" s="378">
        <f>Y29</f>
        <v>339.67573899679473</v>
      </c>
      <c r="AC34" s="378">
        <f>AC29</f>
        <v>435.25078043683061</v>
      </c>
    </row>
    <row r="35" spans="1:29" ht="16.5" thickBot="1" x14ac:dyDescent="0.3">
      <c r="B35" s="19">
        <v>12</v>
      </c>
      <c r="C35" s="18">
        <f>C34-D17</f>
        <v>909991</v>
      </c>
      <c r="D35" s="170">
        <f>C35*C21/100</f>
        <v>68325.157583333334</v>
      </c>
      <c r="E35" s="298">
        <f>(((C34*D21)/100)*18)+(((C35*D21)/100)*(13+14))</f>
        <v>102078.4691589041</v>
      </c>
      <c r="F35" s="19">
        <v>12</v>
      </c>
      <c r="G35" s="18">
        <f>G34-H17</f>
        <v>1415786</v>
      </c>
      <c r="H35" s="353">
        <f>(((G34*H21)/100)*18)+(((G35*H21)/100)*(13+14))</f>
        <v>136069.60758904112</v>
      </c>
      <c r="I35" s="300">
        <f t="shared" si="0"/>
        <v>110.51937534246575</v>
      </c>
      <c r="J35" s="354">
        <v>12</v>
      </c>
      <c r="K35" s="18">
        <f>K34-L17</f>
        <v>2053855.3399999999</v>
      </c>
      <c r="L35" s="353">
        <f>(((K34*L21)/100)*18)+(((K35*L21)/100)*(13+14))</f>
        <v>141236.35679342464</v>
      </c>
      <c r="M35" s="300">
        <f>M29</f>
        <v>165.81780821917809</v>
      </c>
      <c r="N35" s="354">
        <v>12</v>
      </c>
      <c r="O35" s="18">
        <f>O34-P17</f>
        <v>2637477.1387929125</v>
      </c>
      <c r="P35" s="353">
        <f>(((O34*P21)/100)*18)+(((O35*P21)/100)*(13+14))</f>
        <v>245976.42876497068</v>
      </c>
      <c r="Q35" s="378">
        <f t="shared" si="1"/>
        <v>162.40596164383561</v>
      </c>
      <c r="R35" s="6">
        <v>12</v>
      </c>
      <c r="S35" s="18">
        <f>S34-T17</f>
        <v>3831814.9871322922</v>
      </c>
      <c r="T35" s="353">
        <f>(((S34*T21)/100)*18)+(((S35*T21)/100)*(13+14))</f>
        <v>310127.1867841754</v>
      </c>
      <c r="U35" s="378">
        <f t="shared" si="2"/>
        <v>233.34644290822246</v>
      </c>
      <c r="V35" s="6">
        <v>12</v>
      </c>
      <c r="W35" s="18">
        <f>W34-X17</f>
        <v>5222953.6315582693</v>
      </c>
      <c r="X35" s="353">
        <f>(((W34*X21)/100)*18)+(((W35*X21)/100)*(13+14))</f>
        <v>422469.02064880641</v>
      </c>
      <c r="Y35" s="378">
        <f>Y29</f>
        <v>339.67573899679473</v>
      </c>
      <c r="AC35" s="378">
        <f>AC29</f>
        <v>435.25078043683061</v>
      </c>
    </row>
    <row r="36" spans="1:29" ht="31.5" thickTop="1" thickBot="1" x14ac:dyDescent="0.3">
      <c r="B36" s="7"/>
      <c r="C36" s="18">
        <f>C35</f>
        <v>909991</v>
      </c>
      <c r="D36" s="210"/>
      <c r="E36" s="212" t="s">
        <v>130</v>
      </c>
      <c r="F36" s="211"/>
      <c r="G36" s="18">
        <f>G35</f>
        <v>1415786</v>
      </c>
      <c r="H36" s="18"/>
      <c r="I36" s="355" t="s">
        <v>130</v>
      </c>
      <c r="J36" s="7"/>
      <c r="K36" s="18">
        <f>K35</f>
        <v>2053855.3399999999</v>
      </c>
      <c r="L36" s="18"/>
      <c r="M36" s="355" t="s">
        <v>130</v>
      </c>
      <c r="N36" s="7"/>
      <c r="O36" s="18">
        <f>O35</f>
        <v>2637477.1387929125</v>
      </c>
      <c r="P36" s="18"/>
      <c r="Q36" s="214" t="s">
        <v>130</v>
      </c>
      <c r="R36" s="7"/>
      <c r="S36" s="18">
        <f>S35</f>
        <v>3831814.9871322922</v>
      </c>
      <c r="T36" s="18"/>
      <c r="U36" s="214" t="s">
        <v>130</v>
      </c>
      <c r="V36" s="7"/>
      <c r="W36" s="18">
        <f>W35</f>
        <v>5222953.6315582693</v>
      </c>
      <c r="X36" s="18"/>
      <c r="Y36" s="214" t="s">
        <v>130</v>
      </c>
      <c r="AC36" s="214" t="s">
        <v>130</v>
      </c>
    </row>
    <row r="37" spans="1:29" ht="38.450000000000003" customHeight="1" thickTop="1" thickBot="1" x14ac:dyDescent="0.3">
      <c r="B37" s="1285" t="s">
        <v>3</v>
      </c>
      <c r="C37" s="1286"/>
      <c r="D37" s="359">
        <f>SUM(D24:D36)-I23</f>
        <v>918076.27490913228</v>
      </c>
      <c r="E37" s="213">
        <f>SUM(C24:C35)/12</f>
        <v>1019993.1666666666</v>
      </c>
      <c r="F37" s="1257" t="s">
        <v>207</v>
      </c>
      <c r="G37" s="1258"/>
      <c r="H37" s="780">
        <f>H24+H25+H26+H27+H28+H29+H30+H31+H32+H33+H34+H35-M23</f>
        <v>1251930.0074794521</v>
      </c>
      <c r="I37" s="213">
        <f>SUM(G24:G35)/12</f>
        <v>1617607.6666666667</v>
      </c>
      <c r="J37" s="1257" t="s">
        <v>207</v>
      </c>
      <c r="K37" s="1258"/>
      <c r="L37" s="170">
        <f>SUM(L24:L35)-Q23+Q23</f>
        <v>1292938.7007978079</v>
      </c>
      <c r="M37" s="213">
        <f>SUM(K24:K35)/12</f>
        <v>2337135.6733333333</v>
      </c>
      <c r="N37" s="1257" t="s">
        <v>207</v>
      </c>
      <c r="O37" s="1258"/>
      <c r="P37" s="170">
        <f>SUM(P24:P35)-U23+U23</f>
        <v>2214901.8082970832</v>
      </c>
      <c r="Q37" s="213">
        <f>SUM(O24:O35)/12</f>
        <v>2947199.9884064724</v>
      </c>
      <c r="R37" s="1257" t="s">
        <v>207</v>
      </c>
      <c r="S37" s="1258"/>
      <c r="T37" s="170">
        <f>SUM(T24:T35)-Y23</f>
        <v>2812889.4965065108</v>
      </c>
      <c r="U37" s="213">
        <f>SUM(S24:S35)/12</f>
        <v>4324194.7747067036</v>
      </c>
      <c r="V37" s="1257" t="s">
        <v>207</v>
      </c>
      <c r="W37" s="1258"/>
      <c r="X37" s="170">
        <f>SUM(X24:X35)-AC23</f>
        <v>3831648.1476236023</v>
      </c>
      <c r="Y37" s="213">
        <f>SUM(W24:W35)/12</f>
        <v>5872719.1699856482</v>
      </c>
      <c r="AC37" s="213">
        <f>SUM(AA24:AA35)/12</f>
        <v>0</v>
      </c>
    </row>
    <row r="38" spans="1:29" s="155" customFormat="1" ht="16.5" thickTop="1" thickBot="1" x14ac:dyDescent="0.3">
      <c r="A38" s="86" t="s">
        <v>186</v>
      </c>
      <c r="B38" s="172" t="s">
        <v>9</v>
      </c>
      <c r="C38" s="173"/>
      <c r="D38" s="298">
        <f>(((C17*5)+(D17*7))/12)*10*0.02</f>
        <v>3165.1166666666668</v>
      </c>
      <c r="E38" s="298">
        <f>(((' 2022 KONTROL SEKMESİ'!R2*5)+(' 2022 KONTROL SEKMESİ'!R3*7))/12)*10*0.02</f>
        <v>3190.3598602398033</v>
      </c>
      <c r="F38" s="1259" t="s">
        <v>9</v>
      </c>
      <c r="G38" s="1260"/>
      <c r="H38" s="298">
        <f>(((' 2022 KONTROL SEKMESİ'!R3*5)+(E52*7))/12)*10*0.02</f>
        <v>6462.0712284470246</v>
      </c>
      <c r="I38" s="1"/>
      <c r="J38" s="1259" t="s">
        <v>9</v>
      </c>
      <c r="K38" s="1260"/>
      <c r="L38" s="298">
        <f>(((E52*5)+(H52*7))/12)*10*0.02</f>
        <v>9547.8006007782606</v>
      </c>
      <c r="M38" s="151"/>
      <c r="N38" s="1259" t="s">
        <v>9</v>
      </c>
      <c r="O38" s="1260"/>
      <c r="P38" s="298">
        <f>(((H52*5)+(L52*7))/12)*10*0.02</f>
        <v>11108.313824622035</v>
      </c>
      <c r="Q38" s="151"/>
      <c r="R38" s="1259" t="s">
        <v>9</v>
      </c>
      <c r="S38" s="1260"/>
      <c r="T38" s="298">
        <f>(((L52*5)+(P52*7))/12)*10*0.02</f>
        <v>15858.305175256184</v>
      </c>
      <c r="U38" s="151"/>
      <c r="V38" s="1259" t="s">
        <v>9</v>
      </c>
      <c r="W38" s="1260"/>
      <c r="X38" s="298">
        <f>(((P52*5)+(T52*7))/12)*10*0.02</f>
        <v>22204.794457503238</v>
      </c>
    </row>
    <row r="39" spans="1:29" ht="16.5" thickTop="1" thickBot="1" x14ac:dyDescent="0.3">
      <c r="B39" s="4" t="s">
        <v>4</v>
      </c>
      <c r="C39" s="5"/>
      <c r="D39" s="341">
        <f>(D37)*2.6167/100</f>
        <v>24023.301885547262</v>
      </c>
      <c r="E39" s="298">
        <f>(E23)*2.6167/100</f>
        <v>24063.298306792785</v>
      </c>
      <c r="F39" s="1268" t="s">
        <v>4</v>
      </c>
      <c r="G39" s="1269"/>
      <c r="H39" s="152">
        <f>H37*2.6167/100</f>
        <v>32759.25250571482</v>
      </c>
      <c r="I39" s="27"/>
      <c r="J39" s="1268" t="s">
        <v>4</v>
      </c>
      <c r="K39" s="1269"/>
      <c r="L39" s="152">
        <f>L37*2.6167/100</f>
        <v>33832.326983776235</v>
      </c>
      <c r="N39" s="1270" t="s">
        <v>4</v>
      </c>
      <c r="O39" s="1271"/>
      <c r="P39" s="152">
        <f>P37*2.6167/100</f>
        <v>57957.335617709774</v>
      </c>
      <c r="R39" s="1268" t="s">
        <v>4</v>
      </c>
      <c r="S39" s="1269"/>
      <c r="T39" s="152">
        <f>T37*2.6167/100</f>
        <v>73604.879455085858</v>
      </c>
      <c r="V39" s="1268" t="s">
        <v>4</v>
      </c>
      <c r="W39" s="1269"/>
      <c r="X39" s="152">
        <f>X37*2.6167/100</f>
        <v>100262.73707886679</v>
      </c>
    </row>
    <row r="40" spans="1:29" ht="15.75" thickBot="1" x14ac:dyDescent="0.3">
      <c r="B40" s="1280" t="s">
        <v>6</v>
      </c>
      <c r="C40" s="1281"/>
      <c r="D40" s="341">
        <f>D38+D39</f>
        <v>27188.418552213931</v>
      </c>
      <c r="E40" s="301">
        <f>E38+E39</f>
        <v>27253.65816703259</v>
      </c>
      <c r="F40" s="1270" t="s">
        <v>6</v>
      </c>
      <c r="G40" s="1271"/>
      <c r="H40" s="152">
        <f>H38+H39</f>
        <v>39221.323734161844</v>
      </c>
      <c r="J40" s="1270" t="s">
        <v>6</v>
      </c>
      <c r="K40" s="1271"/>
      <c r="L40" s="152">
        <f>L38+L39</f>
        <v>43380.127584554495</v>
      </c>
      <c r="N40" s="1270" t="s">
        <v>6</v>
      </c>
      <c r="O40" s="1271"/>
      <c r="P40" s="152">
        <f>P38+P39</f>
        <v>69065.649442331807</v>
      </c>
      <c r="R40" s="1270" t="s">
        <v>6</v>
      </c>
      <c r="S40" s="1271"/>
      <c r="T40" s="152">
        <f>T38+T39</f>
        <v>89463.184630342046</v>
      </c>
      <c r="V40" s="1270" t="s">
        <v>6</v>
      </c>
      <c r="W40" s="1271"/>
      <c r="X40" s="152">
        <f>X38+X39</f>
        <v>122467.53153637002</v>
      </c>
    </row>
    <row r="41" spans="1:29" ht="15.75" thickBot="1" x14ac:dyDescent="0.3">
      <c r="B41" s="1280" t="s">
        <v>5</v>
      </c>
      <c r="C41" s="1281"/>
      <c r="D41" s="342">
        <f>D37-D40</f>
        <v>890887.85635691835</v>
      </c>
      <c r="E41" s="302">
        <f>E23-E40</f>
        <v>892351.12292337837</v>
      </c>
      <c r="F41" s="1266" t="s">
        <v>5</v>
      </c>
      <c r="G41" s="1267"/>
      <c r="H41" s="152">
        <f>H37-H40</f>
        <v>1212708.6837452902</v>
      </c>
      <c r="J41" s="1272" t="s">
        <v>5</v>
      </c>
      <c r="K41" s="1267"/>
      <c r="L41" s="17">
        <f>L37-L40</f>
        <v>1249558.5732132534</v>
      </c>
      <c r="N41" s="1272" t="s">
        <v>5</v>
      </c>
      <c r="O41" s="1267"/>
      <c r="P41" s="17">
        <f>P37-P40</f>
        <v>2145836.1588547514</v>
      </c>
      <c r="R41" s="1272" t="s">
        <v>5</v>
      </c>
      <c r="S41" s="1267"/>
      <c r="T41" s="17">
        <f>T37-T40</f>
        <v>2723426.3118761689</v>
      </c>
      <c r="V41" s="1272" t="s">
        <v>5</v>
      </c>
      <c r="W41" s="1267"/>
      <c r="X41" s="17">
        <f>X37-X40</f>
        <v>3709180.6160872323</v>
      </c>
    </row>
    <row r="42" spans="1:29" ht="61.9" customHeight="1" thickBot="1" x14ac:dyDescent="0.3">
      <c r="A42" s="85"/>
      <c r="B42" s="14" t="s">
        <v>59</v>
      </c>
      <c r="C42" s="337">
        <f>(((B2-5)*B3/100+5)*100/B2)*B4</f>
        <v>52.774694783573807</v>
      </c>
      <c r="D42" s="14"/>
      <c r="F42" s="14" t="s">
        <v>59</v>
      </c>
      <c r="G42" s="114">
        <f>(((C2-5)*C3/100+5)*100/C2)*C4</f>
        <v>53.242542153047992</v>
      </c>
      <c r="H42" s="14"/>
      <c r="J42" s="14" t="s">
        <v>59</v>
      </c>
      <c r="K42" s="114">
        <f>(((D2-5)*D3/100+5)*100/D2)*D4</f>
        <v>54.528985507246375</v>
      </c>
      <c r="L42" s="14"/>
      <c r="M42" s="1">
        <f>(4400/3)/12</f>
        <v>122.22222222222223</v>
      </c>
      <c r="N42" s="14" t="s">
        <v>59</v>
      </c>
      <c r="O42" s="114">
        <f>(((E2-5)*E3/100+5)*100/E2)*E4</f>
        <v>53.333333333333336</v>
      </c>
      <c r="P42" s="14"/>
      <c r="R42" s="14" t="s">
        <v>59</v>
      </c>
      <c r="S42" s="114">
        <f>(((F2-5)*F3/100+5)*100/F2)*F4</f>
        <v>53.846153846153847</v>
      </c>
      <c r="T42" s="14"/>
      <c r="V42" s="14" t="s">
        <v>59</v>
      </c>
      <c r="W42" s="114">
        <f>(((G2-5)*G3/100+5)*100/G2)*G4</f>
        <v>53.846153846153847</v>
      </c>
      <c r="X42" s="14"/>
    </row>
    <row r="43" spans="1:29" s="16" customFormat="1" ht="36.75" thickBot="1" x14ac:dyDescent="0.4">
      <c r="B43" s="23" t="s">
        <v>65</v>
      </c>
      <c r="C43" s="22">
        <f>(D43-D17)/D17</f>
        <v>0.7531186059186018</v>
      </c>
      <c r="D43" s="40">
        <f>D44/12</f>
        <v>39245.31311209382</v>
      </c>
      <c r="E43" s="304">
        <f>E44/12</f>
        <v>39244.631793383865</v>
      </c>
      <c r="F43" s="23" t="s">
        <v>64</v>
      </c>
      <c r="G43" s="22">
        <f>(H43-H17)/H17</f>
        <v>0.37086397481265321</v>
      </c>
      <c r="H43" s="64">
        <f>H44/12</f>
        <v>53806.411011396638</v>
      </c>
      <c r="I43" s="317">
        <f>((H41*I50)/100/12)</f>
        <v>53806.411011396638</v>
      </c>
      <c r="J43" s="23" t="s">
        <v>63</v>
      </c>
      <c r="K43" s="856">
        <f>(L43-L17)/L17</f>
        <v>5.7491857085226111E-2</v>
      </c>
      <c r="L43" s="64">
        <f>L44/12</f>
        <v>56780.967774334131</v>
      </c>
      <c r="M43" s="317">
        <f>((L41*M50)/100/12)</f>
        <v>56780.967774334131</v>
      </c>
      <c r="N43" s="23" t="s">
        <v>61</v>
      </c>
      <c r="O43" s="856">
        <f>(P43-P17)/P17</f>
        <v>0.67962082520560685</v>
      </c>
      <c r="P43" s="64">
        <f>P44/12</f>
        <v>95370.495949100063</v>
      </c>
      <c r="Q43" s="317">
        <f>((P41*Q50)/100/12)</f>
        <v>95370.495949100063</v>
      </c>
      <c r="R43" s="23" t="s">
        <v>164</v>
      </c>
      <c r="S43" s="22">
        <f>(T43-T17)/T17</f>
        <v>0.28137140945747013</v>
      </c>
      <c r="T43" s="64">
        <f>T44/12</f>
        <v>122205.02681495629</v>
      </c>
      <c r="U43" s="317">
        <f>((T41*U50)/100/12)</f>
        <v>122205.02681495629</v>
      </c>
      <c r="V43" s="23" t="s">
        <v>164</v>
      </c>
      <c r="W43" s="22">
        <f>(X43-X17)/X17</f>
        <v>0.36195372715334334</v>
      </c>
      <c r="X43" s="64">
        <f>X44/12</f>
        <v>166437.59174750399</v>
      </c>
    </row>
    <row r="44" spans="1:29" ht="15.75" thickBot="1" x14ac:dyDescent="0.3">
      <c r="B44" s="1244" t="s">
        <v>21</v>
      </c>
      <c r="C44" s="1245"/>
      <c r="D44" s="338">
        <f>((D41-(E37*0.05))*('AYRINTILI BİLGİLER'!L3/100)+(E37*0.05))</f>
        <v>470943.75734512584</v>
      </c>
      <c r="E44" s="339">
        <f>(E41*C42)/100</f>
        <v>470935.58152060641</v>
      </c>
      <c r="F44" s="1275" t="s">
        <v>21</v>
      </c>
      <c r="G44" s="1245"/>
      <c r="H44" s="15">
        <f>(H41*G42/100)</f>
        <v>645676.93213675963</v>
      </c>
      <c r="I44" s="13"/>
      <c r="J44" s="1244" t="s">
        <v>21</v>
      </c>
      <c r="K44" s="1245"/>
      <c r="L44" s="15">
        <f>(L41*K42/100)</f>
        <v>681371.61329200957</v>
      </c>
      <c r="M44" s="13"/>
      <c r="N44" s="1244" t="s">
        <v>21</v>
      </c>
      <c r="O44" s="1245"/>
      <c r="P44" s="15">
        <f>(P41*O42/100)</f>
        <v>1144445.9513892008</v>
      </c>
      <c r="Q44" s="13"/>
      <c r="R44" s="1244" t="s">
        <v>21</v>
      </c>
      <c r="S44" s="1245"/>
      <c r="T44" s="15">
        <f>(T41*S42/100)</f>
        <v>1466460.3217794755</v>
      </c>
      <c r="U44" s="13"/>
      <c r="V44" s="1244" t="s">
        <v>21</v>
      </c>
      <c r="W44" s="1245"/>
      <c r="X44" s="15">
        <f>(X41*W42/100)</f>
        <v>1997251.100970048</v>
      </c>
    </row>
    <row r="45" spans="1:29" ht="15.75" thickBot="1" x14ac:dyDescent="0.3">
      <c r="B45" s="1246" t="s">
        <v>8</v>
      </c>
      <c r="C45" s="1247"/>
      <c r="D45" s="338">
        <f>D41-D44</f>
        <v>419944.09901179251</v>
      </c>
      <c r="E45" s="340">
        <f>E41-E44</f>
        <v>421415.54140277195</v>
      </c>
      <c r="F45" s="1274" t="s">
        <v>8</v>
      </c>
      <c r="G45" s="1247"/>
      <c r="H45" s="15">
        <f>H41-H44</f>
        <v>567031.75160853053</v>
      </c>
      <c r="I45" s="13"/>
      <c r="J45" s="1246" t="s">
        <v>8</v>
      </c>
      <c r="K45" s="1247"/>
      <c r="L45" s="15">
        <f>L41-L44</f>
        <v>568186.95992124383</v>
      </c>
      <c r="M45" s="13"/>
      <c r="N45" s="1246" t="s">
        <v>8</v>
      </c>
      <c r="O45" s="1247"/>
      <c r="P45" s="15">
        <f>P41-P44</f>
        <v>1001390.2074655506</v>
      </c>
      <c r="Q45" s="13"/>
      <c r="R45" s="1246" t="s">
        <v>8</v>
      </c>
      <c r="S45" s="1247"/>
      <c r="T45" s="15">
        <f>T41-T44</f>
        <v>1256965.9900966934</v>
      </c>
      <c r="U45" s="13"/>
      <c r="V45" s="1246" t="s">
        <v>8</v>
      </c>
      <c r="W45" s="1247"/>
      <c r="X45" s="15">
        <f>X41-X44</f>
        <v>1711929.5151171843</v>
      </c>
    </row>
    <row r="46" spans="1:29" s="16" customFormat="1" ht="65.25" thickBot="1" x14ac:dyDescent="0.4">
      <c r="A46" s="313"/>
      <c r="B46" s="21" t="s">
        <v>185</v>
      </c>
      <c r="C46" s="22">
        <f>(E46-C16)/C16</f>
        <v>0.60166125091459544</v>
      </c>
      <c r="D46" s="64">
        <f>C36+D45</f>
        <v>1329935.0990117926</v>
      </c>
      <c r="E46" s="303">
        <f>C36+E45</f>
        <v>1331406.5414027721</v>
      </c>
      <c r="F46" s="21" t="s">
        <v>163</v>
      </c>
      <c r="G46" s="22">
        <f>(H46-G16)/G16</f>
        <v>0.48919893681741067</v>
      </c>
      <c r="H46" s="64">
        <f>G36+H45</f>
        <v>1982817.7516085305</v>
      </c>
      <c r="I46" s="317">
        <f>((H44*I53)/100/12)</f>
        <v>0</v>
      </c>
      <c r="J46" s="21" t="s">
        <v>62</v>
      </c>
      <c r="K46" s="22">
        <f>(L46-K16)/K16</f>
        <v>0.32317094219829734</v>
      </c>
      <c r="L46" s="778">
        <f>K36+L45</f>
        <v>2622042.2999212435</v>
      </c>
      <c r="N46" s="21" t="s">
        <v>60</v>
      </c>
      <c r="O46" s="22">
        <f>(P46-O16)/O16</f>
        <v>0.38779887203488728</v>
      </c>
      <c r="P46" s="64">
        <f>O36+P45</f>
        <v>3638867.3462584633</v>
      </c>
      <c r="R46" s="21" t="s">
        <v>165</v>
      </c>
      <c r="S46" s="22">
        <f>(T46-S16)/S16</f>
        <v>0.39845190632226402</v>
      </c>
      <c r="T46" s="778">
        <f>S36+T45</f>
        <v>5088780.9772289861</v>
      </c>
      <c r="V46" s="21" t="s">
        <v>165</v>
      </c>
      <c r="W46" s="22" t="e">
        <f>(X46-W16)/W16</f>
        <v>#DIV/0!</v>
      </c>
      <c r="X46" s="64">
        <f>W36+X45</f>
        <v>6934883.1466754535</v>
      </c>
    </row>
    <row r="47" spans="1:29" ht="34.15" customHeight="1" thickBot="1" x14ac:dyDescent="0.3">
      <c r="B47" s="1248" t="s">
        <v>25</v>
      </c>
      <c r="C47" s="1249"/>
      <c r="D47" s="31">
        <f>D46+D44</f>
        <v>1800878.8563569183</v>
      </c>
      <c r="E47" s="303">
        <f>E46+E44</f>
        <v>1802342.1229233784</v>
      </c>
      <c r="F47" s="1248" t="s">
        <v>25</v>
      </c>
      <c r="G47" s="1249"/>
      <c r="H47" s="31">
        <f>H46+H44</f>
        <v>2628494.6837452902</v>
      </c>
      <c r="I47" s="13"/>
      <c r="J47" s="1248" t="s">
        <v>25</v>
      </c>
      <c r="K47" s="1249"/>
      <c r="L47" s="779">
        <f>L46+L44</f>
        <v>3303413.913213253</v>
      </c>
      <c r="M47" s="13"/>
      <c r="N47" s="1248" t="s">
        <v>25</v>
      </c>
      <c r="O47" s="1249"/>
      <c r="P47" s="31">
        <f>P46+P44</f>
        <v>4783313.2976476643</v>
      </c>
      <c r="Q47" s="13"/>
      <c r="R47" s="1248" t="s">
        <v>25</v>
      </c>
      <c r="S47" s="1249"/>
      <c r="T47" s="779">
        <f>T46+T44</f>
        <v>6555241.2990084616</v>
      </c>
      <c r="V47" s="1248" t="s">
        <v>25</v>
      </c>
      <c r="W47" s="1249"/>
      <c r="X47" s="31">
        <f>X46+X44</f>
        <v>8932134.247645501</v>
      </c>
    </row>
    <row r="48" spans="1:29" ht="15.75" thickBot="1" x14ac:dyDescent="0.3">
      <c r="E48" s="27">
        <f>(((E41-(E37*0.05))/2)+(E37*0.05))/12</f>
        <v>39306.282552362987</v>
      </c>
    </row>
    <row r="49" spans="1:25" ht="33" customHeight="1" thickTop="1" thickBot="1" x14ac:dyDescent="0.3">
      <c r="A49" s="913" t="s">
        <v>74</v>
      </c>
      <c r="B49" s="118" t="s">
        <v>50</v>
      </c>
      <c r="C49" s="86" t="s">
        <v>51</v>
      </c>
      <c r="D49" s="86" t="s">
        <v>7</v>
      </c>
      <c r="E49" s="88" t="s">
        <v>52</v>
      </c>
      <c r="F49" s="118" t="s">
        <v>50</v>
      </c>
      <c r="G49" s="86" t="s">
        <v>51</v>
      </c>
      <c r="H49" s="86" t="s">
        <v>7</v>
      </c>
      <c r="I49" s="88" t="s">
        <v>52</v>
      </c>
      <c r="J49" s="118" t="s">
        <v>50</v>
      </c>
      <c r="K49" s="86" t="s">
        <v>51</v>
      </c>
      <c r="L49" s="86" t="s">
        <v>7</v>
      </c>
      <c r="M49" s="88" t="s">
        <v>52</v>
      </c>
      <c r="N49" s="118" t="s">
        <v>50</v>
      </c>
      <c r="O49" s="86" t="s">
        <v>51</v>
      </c>
      <c r="P49" s="86" t="s">
        <v>7</v>
      </c>
      <c r="Q49" s="88" t="s">
        <v>52</v>
      </c>
      <c r="R49" s="118" t="s">
        <v>50</v>
      </c>
      <c r="S49" s="86" t="s">
        <v>51</v>
      </c>
      <c r="T49" s="86" t="s">
        <v>7</v>
      </c>
      <c r="U49" s="88" t="s">
        <v>52</v>
      </c>
      <c r="V49" s="118" t="s">
        <v>50</v>
      </c>
      <c r="W49" s="86" t="s">
        <v>51</v>
      </c>
      <c r="X49" s="86" t="s">
        <v>7</v>
      </c>
      <c r="Y49" s="88" t="s">
        <v>52</v>
      </c>
    </row>
    <row r="50" spans="1:25" ht="24.75" thickTop="1" thickBot="1" x14ac:dyDescent="0.3">
      <c r="A50" s="913"/>
      <c r="B50" s="119">
        <v>90.1</v>
      </c>
      <c r="C50" s="87">
        <v>50</v>
      </c>
      <c r="D50" s="86">
        <f>((B50-5)*C50/100+5)</f>
        <v>47.55</v>
      </c>
      <c r="E50" s="799">
        <f>D50*100/B50</f>
        <v>52.774694783573807</v>
      </c>
      <c r="F50" s="119">
        <f>G20</f>
        <v>77.099999999999994</v>
      </c>
      <c r="G50" s="87">
        <v>50</v>
      </c>
      <c r="H50" s="86">
        <f>((F50-5)*G50/100+5)</f>
        <v>41.05</v>
      </c>
      <c r="I50" s="800">
        <f>H50*100/F50</f>
        <v>53.242542153047992</v>
      </c>
      <c r="J50" s="119">
        <f>K20</f>
        <v>55.2</v>
      </c>
      <c r="K50" s="87">
        <v>50</v>
      </c>
      <c r="L50" s="86">
        <f>((J50-5)*K50/100+5)</f>
        <v>30.1</v>
      </c>
      <c r="M50" s="120">
        <f>L50*100/J50</f>
        <v>54.528985507246375</v>
      </c>
      <c r="N50" s="119">
        <f>O20</f>
        <v>75</v>
      </c>
      <c r="O50" s="87">
        <v>50</v>
      </c>
      <c r="P50" s="86">
        <f>((N50-5)*O50/100+5)</f>
        <v>40</v>
      </c>
      <c r="Q50" s="120">
        <f>P50*100/N50</f>
        <v>53.333333333333336</v>
      </c>
      <c r="R50" s="119">
        <f>S20</f>
        <v>65</v>
      </c>
      <c r="S50" s="87">
        <v>50</v>
      </c>
      <c r="T50" s="86">
        <f>((R50-5)*S50/100+5)</f>
        <v>35</v>
      </c>
      <c r="U50" s="120">
        <f>T50*100/R50</f>
        <v>53.846153846153847</v>
      </c>
      <c r="V50" s="119">
        <f>W20</f>
        <v>65</v>
      </c>
      <c r="W50" s="87">
        <v>50</v>
      </c>
      <c r="X50" s="86">
        <f>((V50-5)*W50/100+5)</f>
        <v>35</v>
      </c>
      <c r="Y50" s="120">
        <f>X50*100/V50</f>
        <v>53.846153846153847</v>
      </c>
    </row>
    <row r="51" spans="1:25" ht="19.149999999999999" customHeight="1" thickTop="1" thickBot="1" x14ac:dyDescent="0.3">
      <c r="B51" s="119">
        <v>27.2</v>
      </c>
      <c r="C51" s="87">
        <v>50</v>
      </c>
      <c r="D51" s="86">
        <f>((B51-5)*C51/100+5)</f>
        <v>16.100000000000001</v>
      </c>
      <c r="E51" s="312">
        <f>D51*100/B51</f>
        <v>59.191176470588246</v>
      </c>
      <c r="G51" s="1"/>
      <c r="H51" s="1"/>
      <c r="K51" s="1"/>
      <c r="L51" s="1"/>
    </row>
    <row r="52" spans="1:25" ht="32.450000000000003" customHeight="1" thickTop="1" thickBot="1" x14ac:dyDescent="0.3">
      <c r="C52" s="1"/>
      <c r="D52" s="427" t="s">
        <v>81</v>
      </c>
      <c r="E52" s="319">
        <f>(E41*(E50/100))/12</f>
        <v>39244.631793383865</v>
      </c>
      <c r="F52" s="331" t="s">
        <v>201</v>
      </c>
      <c r="G52" s="427" t="s">
        <v>81</v>
      </c>
      <c r="H52" s="319">
        <f>(H41*(I50/100))/12</f>
        <v>53806.411011396624</v>
      </c>
      <c r="K52" s="428" t="s">
        <v>81</v>
      </c>
      <c r="L52" s="319">
        <f>(L41*(M50/100))/12</f>
        <v>56780.967774334131</v>
      </c>
      <c r="O52" s="428" t="s">
        <v>81</v>
      </c>
      <c r="P52" s="319">
        <f>(P41*(Q50/100))/12</f>
        <v>95370.495949100063</v>
      </c>
      <c r="S52" s="428" t="s">
        <v>81</v>
      </c>
      <c r="T52" s="319">
        <f>(T41*(U50/100))/12</f>
        <v>122205.02681495629</v>
      </c>
      <c r="W52" s="428" t="s">
        <v>81</v>
      </c>
      <c r="X52" s="319">
        <f>(X41*(Y50/100))/12</f>
        <v>166437.59174750399</v>
      </c>
    </row>
    <row r="53" spans="1:25" ht="32.25" thickBot="1" x14ac:dyDescent="0.3">
      <c r="C53" s="1"/>
      <c r="D53" s="334" t="s">
        <v>32</v>
      </c>
      <c r="E53" s="335">
        <f>E48</f>
        <v>39306.282552362987</v>
      </c>
      <c r="F53" s="332">
        <f>E53-E43</f>
        <v>61.650758979121747</v>
      </c>
      <c r="G53" s="27"/>
      <c r="H53" s="1"/>
      <c r="K53" s="1"/>
      <c r="L53" s="1"/>
    </row>
    <row r="54" spans="1:25" ht="31.5" x14ac:dyDescent="0.25">
      <c r="C54" s="1"/>
      <c r="D54" s="334" t="s">
        <v>110</v>
      </c>
      <c r="E54" s="335">
        <f>E53*12</f>
        <v>471675.39062835585</v>
      </c>
      <c r="F54" s="333"/>
      <c r="G54" s="1"/>
      <c r="H54" s="1"/>
      <c r="K54" s="1"/>
      <c r="L54" s="1"/>
    </row>
    <row r="55" spans="1:25" ht="32.25" thickBot="1" x14ac:dyDescent="0.3">
      <c r="C55" s="1"/>
      <c r="D55" s="334" t="s">
        <v>8</v>
      </c>
      <c r="E55" s="335">
        <f>E41-E54</f>
        <v>420675.73229502252</v>
      </c>
      <c r="F55" s="333"/>
      <c r="G55" s="1"/>
      <c r="H55" s="1"/>
      <c r="K55" s="1">
        <f>(39250*12)-51000</f>
        <v>420000</v>
      </c>
      <c r="L55" s="1"/>
    </row>
    <row r="56" spans="1:25" ht="32.25" thickBot="1" x14ac:dyDescent="0.3">
      <c r="C56" s="1"/>
      <c r="D56" s="336" t="s">
        <v>196</v>
      </c>
      <c r="E56" s="335">
        <f>C36+E55</f>
        <v>1330666.7322950226</v>
      </c>
      <c r="F56" s="332">
        <f>E56-E46</f>
        <v>-739.80910774949007</v>
      </c>
      <c r="G56" s="1"/>
      <c r="H56" s="1"/>
      <c r="K56" s="1">
        <f>39250*12</f>
        <v>471000</v>
      </c>
      <c r="L56" s="1"/>
    </row>
    <row r="57" spans="1:25" ht="31.5" x14ac:dyDescent="0.25">
      <c r="C57" s="1"/>
      <c r="D57" s="334" t="s">
        <v>23</v>
      </c>
      <c r="E57" s="335">
        <f>E56+E54</f>
        <v>1802342.1229233784</v>
      </c>
      <c r="G57" s="1"/>
      <c r="H57" s="1"/>
      <c r="K57" s="1"/>
      <c r="L57" s="1"/>
    </row>
    <row r="58" spans="1:25" ht="33" customHeight="1" x14ac:dyDescent="0.25">
      <c r="B58" s="1287" t="s">
        <v>198</v>
      </c>
      <c r="C58" s="1287"/>
      <c r="D58" s="1287"/>
      <c r="E58" s="1287"/>
      <c r="F58" s="304">
        <f>F53</f>
        <v>61.650758979121747</v>
      </c>
      <c r="G58" s="328" t="s">
        <v>197</v>
      </c>
      <c r="H58" s="328"/>
      <c r="I58" s="328"/>
      <c r="K58" s="1"/>
      <c r="L58" s="1"/>
    </row>
    <row r="59" spans="1:25" x14ac:dyDescent="0.25">
      <c r="C59" s="1"/>
      <c r="D59" s="1"/>
      <c r="G59" s="1"/>
      <c r="H59" s="1"/>
      <c r="K59" s="1"/>
      <c r="L59" s="1"/>
    </row>
    <row r="60" spans="1:25" x14ac:dyDescent="0.25">
      <c r="C60" s="329" t="s">
        <v>200</v>
      </c>
      <c r="D60" s="318" t="s">
        <v>199</v>
      </c>
      <c r="E60" s="319">
        <f>E37*0.05</f>
        <v>50999.658333333333</v>
      </c>
      <c r="F60" s="322" t="s">
        <v>193</v>
      </c>
      <c r="G60" s="323">
        <f>E41-E60</f>
        <v>841351.46459004504</v>
      </c>
      <c r="H60" s="325" t="s">
        <v>194</v>
      </c>
      <c r="I60" s="324">
        <f>G60/2</f>
        <v>420675.73229502252</v>
      </c>
      <c r="J60" s="327" t="s">
        <v>195</v>
      </c>
      <c r="K60" s="326">
        <f>(I60+E60)/12</f>
        <v>39306.282552362987</v>
      </c>
      <c r="L60" s="1"/>
    </row>
    <row r="61" spans="1:25" x14ac:dyDescent="0.25">
      <c r="C61" s="330" t="s">
        <v>200</v>
      </c>
      <c r="D61" s="320" t="s">
        <v>192</v>
      </c>
      <c r="E61" s="321">
        <f>E41*0.05</f>
        <v>44617.556146168921</v>
      </c>
      <c r="F61" s="322" t="s">
        <v>193</v>
      </c>
      <c r="G61" s="323">
        <f>E41-E61</f>
        <v>847733.5667772094</v>
      </c>
      <c r="H61" s="325" t="s">
        <v>194</v>
      </c>
      <c r="I61" s="324">
        <f>G61/2</f>
        <v>423866.7833886047</v>
      </c>
      <c r="J61" s="327" t="s">
        <v>195</v>
      </c>
      <c r="K61" s="326">
        <f>(I61+E61)/12</f>
        <v>39040.361627897801</v>
      </c>
      <c r="L61" s="1"/>
    </row>
    <row r="62" spans="1:25" x14ac:dyDescent="0.25">
      <c r="C62" s="1"/>
      <c r="D62" s="1"/>
      <c r="G62" s="1"/>
      <c r="H62" s="1"/>
      <c r="I62" s="27"/>
      <c r="K62" s="1"/>
      <c r="L62" s="1"/>
    </row>
    <row r="63" spans="1:25" x14ac:dyDescent="0.25">
      <c r="C63" s="1"/>
      <c r="D63" s="1"/>
      <c r="G63" s="1"/>
      <c r="H63" s="1"/>
      <c r="K63" s="1"/>
      <c r="L63" s="1"/>
    </row>
    <row r="64" spans="1:25" x14ac:dyDescent="0.25">
      <c r="C64" s="1"/>
      <c r="D64" s="1"/>
      <c r="G64" s="1"/>
      <c r="H64" s="1"/>
      <c r="K64" s="1"/>
      <c r="L64" s="1"/>
    </row>
    <row r="65" spans="3:12" ht="40.15" customHeight="1" x14ac:dyDescent="0.25">
      <c r="C65" s="1"/>
      <c r="D65" s="1"/>
      <c r="G65" s="1"/>
      <c r="H65" s="1"/>
      <c r="K65" s="1"/>
      <c r="L65" s="1"/>
    </row>
    <row r="66" spans="3:12" ht="18" customHeight="1" x14ac:dyDescent="0.25">
      <c r="C66" s="1"/>
      <c r="D66" s="1"/>
      <c r="G66" s="1"/>
      <c r="H66" s="1"/>
      <c r="J66" s="1276" t="s">
        <v>526</v>
      </c>
      <c r="K66" s="1276"/>
    </row>
    <row r="67" spans="3:12" ht="23.45" customHeight="1" x14ac:dyDescent="0.25">
      <c r="C67" s="1"/>
      <c r="D67" s="1"/>
      <c r="G67" s="1"/>
      <c r="H67" s="1"/>
      <c r="J67" s="915" t="s">
        <v>525</v>
      </c>
      <c r="K67" s="915"/>
    </row>
    <row r="68" spans="3:12" ht="23.25" x14ac:dyDescent="0.25">
      <c r="C68" s="1"/>
      <c r="D68" s="1"/>
      <c r="G68" s="1"/>
      <c r="H68" s="1"/>
      <c r="J68" s="858" t="s">
        <v>516</v>
      </c>
      <c r="K68" s="860">
        <f>K20</f>
        <v>55.2</v>
      </c>
    </row>
    <row r="69" spans="3:12" x14ac:dyDescent="0.25">
      <c r="C69" s="1"/>
      <c r="D69" s="1"/>
      <c r="G69" s="1"/>
      <c r="H69" s="1"/>
      <c r="J69" s="858" t="s">
        <v>0</v>
      </c>
      <c r="K69" s="44">
        <f>K16</f>
        <v>1981635.34</v>
      </c>
    </row>
    <row r="70" spans="3:12" x14ac:dyDescent="0.25">
      <c r="C70" s="1"/>
      <c r="D70" s="1"/>
      <c r="G70" s="1"/>
      <c r="H70" s="1"/>
      <c r="J70" s="858" t="s">
        <v>130</v>
      </c>
      <c r="K70" s="44">
        <f>M37</f>
        <v>2337135.6733333333</v>
      </c>
    </row>
    <row r="71" spans="3:12" ht="27" customHeight="1" x14ac:dyDescent="0.25">
      <c r="C71" s="1"/>
      <c r="D71" s="1"/>
      <c r="G71" s="1"/>
      <c r="H71" s="1"/>
      <c r="J71" s="858" t="s">
        <v>517</v>
      </c>
      <c r="K71" s="859" t="s">
        <v>518</v>
      </c>
    </row>
    <row r="72" spans="3:12" x14ac:dyDescent="0.25">
      <c r="C72" s="1"/>
      <c r="D72" s="1"/>
      <c r="G72" s="1"/>
      <c r="H72" s="1"/>
      <c r="J72" s="858" t="s">
        <v>523</v>
      </c>
      <c r="K72" s="44">
        <f>K17</f>
        <v>39250</v>
      </c>
    </row>
    <row r="73" spans="3:12" x14ac:dyDescent="0.25">
      <c r="C73" s="1"/>
      <c r="D73" s="1"/>
      <c r="G73" s="1"/>
      <c r="H73" s="1"/>
      <c r="J73" s="858" t="s">
        <v>524</v>
      </c>
      <c r="K73" s="44">
        <f>L17</f>
        <v>53694</v>
      </c>
    </row>
    <row r="74" spans="3:12" x14ac:dyDescent="0.25">
      <c r="C74" s="1"/>
      <c r="D74" s="1"/>
      <c r="G74" s="1"/>
      <c r="H74" s="1"/>
      <c r="J74" s="858" t="s">
        <v>519</v>
      </c>
      <c r="K74" s="44">
        <f>L43</f>
        <v>56780.967774334131</v>
      </c>
    </row>
    <row r="75" spans="3:12" x14ac:dyDescent="0.25">
      <c r="C75" s="1"/>
      <c r="D75" s="1"/>
      <c r="G75" s="1"/>
      <c r="H75" s="1"/>
      <c r="J75" s="858" t="s">
        <v>110</v>
      </c>
      <c r="K75" s="44">
        <f>L44</f>
        <v>681371.61329200957</v>
      </c>
    </row>
    <row r="76" spans="3:12" x14ac:dyDescent="0.25">
      <c r="C76" s="1"/>
      <c r="D76" s="1"/>
      <c r="G76" s="1"/>
      <c r="H76" s="1"/>
      <c r="J76" s="858" t="s">
        <v>48</v>
      </c>
      <c r="K76" s="44">
        <f>L46</f>
        <v>2622042.2999212435</v>
      </c>
    </row>
    <row r="77" spans="3:12" ht="29.45" customHeight="1" x14ac:dyDescent="0.25">
      <c r="C77" s="1"/>
      <c r="D77" s="1"/>
      <c r="G77" s="1"/>
      <c r="H77" s="1"/>
      <c r="J77" s="858" t="s">
        <v>520</v>
      </c>
      <c r="K77" s="44">
        <f>L37</f>
        <v>1292938.7007978079</v>
      </c>
      <c r="L77" s="1"/>
    </row>
    <row r="78" spans="3:12" ht="14.45" customHeight="1" x14ac:dyDescent="0.25">
      <c r="C78" s="1"/>
      <c r="D78" s="1"/>
      <c r="G78" s="1"/>
      <c r="H78" s="1"/>
      <c r="J78" s="858" t="s">
        <v>521</v>
      </c>
      <c r="K78" s="44">
        <f>L41</f>
        <v>1249558.5732132534</v>
      </c>
      <c r="L78" s="1"/>
    </row>
    <row r="79" spans="3:12" x14ac:dyDescent="0.25">
      <c r="C79" s="1"/>
      <c r="D79" s="1"/>
      <c r="G79" s="1"/>
      <c r="H79" s="1"/>
      <c r="J79" s="858" t="s">
        <v>108</v>
      </c>
      <c r="K79" s="44">
        <f>L39</f>
        <v>33832.326983776235</v>
      </c>
      <c r="L79" s="1"/>
    </row>
    <row r="80" spans="3:12" x14ac:dyDescent="0.25">
      <c r="C80" s="1"/>
      <c r="D80" s="1"/>
      <c r="G80" s="1"/>
      <c r="H80" s="1"/>
      <c r="J80" s="858" t="s">
        <v>107</v>
      </c>
      <c r="K80" s="44">
        <f>L38</f>
        <v>9547.8006007782606</v>
      </c>
      <c r="L80" s="1"/>
    </row>
    <row r="81" spans="3:12" x14ac:dyDescent="0.25">
      <c r="C81" s="1"/>
      <c r="D81" s="1"/>
      <c r="G81" s="1"/>
      <c r="H81" s="1"/>
      <c r="J81" s="858" t="s">
        <v>6</v>
      </c>
      <c r="K81" s="44">
        <f>K79+K80</f>
        <v>43380.127584554495</v>
      </c>
      <c r="L81" s="1"/>
    </row>
    <row r="82" spans="3:12" ht="22.9" customHeight="1" x14ac:dyDescent="0.25">
      <c r="C82" s="1"/>
      <c r="D82" s="1"/>
      <c r="G82" s="1"/>
      <c r="H82" s="1"/>
      <c r="J82" s="858" t="s">
        <v>522</v>
      </c>
      <c r="K82" s="647">
        <f>K43</f>
        <v>5.7491857085226111E-2</v>
      </c>
      <c r="L82" s="1"/>
    </row>
    <row r="83" spans="3:12" x14ac:dyDescent="0.25">
      <c r="C83" s="1"/>
      <c r="D83" s="1"/>
      <c r="G83" s="1"/>
      <c r="H83" s="1"/>
      <c r="K83" s="1"/>
      <c r="L83" s="1"/>
    </row>
    <row r="84" spans="3:12" x14ac:dyDescent="0.25">
      <c r="C84" s="1"/>
      <c r="D84" s="1"/>
      <c r="G84" s="1"/>
      <c r="H84" s="1"/>
    </row>
    <row r="85" spans="3:12" ht="24.6" customHeight="1" x14ac:dyDescent="0.25">
      <c r="C85" s="1"/>
      <c r="D85" s="1"/>
      <c r="G85" s="1"/>
      <c r="H85" s="1"/>
      <c r="K85" s="1"/>
      <c r="L85" s="1"/>
    </row>
    <row r="86" spans="3:12" x14ac:dyDescent="0.25">
      <c r="C86" s="1"/>
      <c r="D86" s="1"/>
      <c r="G86" s="1"/>
      <c r="H86" s="1"/>
      <c r="K86" s="1"/>
      <c r="L86" s="1"/>
    </row>
    <row r="87" spans="3:12" x14ac:dyDescent="0.25">
      <c r="C87" s="1"/>
      <c r="D87" s="1"/>
      <c r="G87" s="1"/>
      <c r="H87" s="1"/>
      <c r="K87" s="1"/>
      <c r="L87" s="1"/>
    </row>
    <row r="88" spans="3:12" ht="42" customHeight="1" x14ac:dyDescent="0.25">
      <c r="C88" s="1"/>
      <c r="D88" s="1"/>
      <c r="G88" s="1"/>
      <c r="H88" s="1"/>
      <c r="K88" s="1"/>
      <c r="L88" s="1"/>
    </row>
    <row r="89" spans="3:12" x14ac:dyDescent="0.25">
      <c r="C89" s="1"/>
      <c r="D89" s="1"/>
      <c r="G89" s="1"/>
      <c r="H89" s="1"/>
      <c r="K89" s="1"/>
      <c r="L89" s="1"/>
    </row>
    <row r="90" spans="3:12" x14ac:dyDescent="0.25">
      <c r="C90" s="1"/>
      <c r="D90" s="1"/>
      <c r="G90" s="1"/>
      <c r="H90" s="1"/>
      <c r="K90" s="1"/>
      <c r="L90" s="1"/>
    </row>
    <row r="91" spans="3:12" ht="18" customHeight="1" x14ac:dyDescent="0.25">
      <c r="C91" s="1"/>
      <c r="D91" s="1"/>
      <c r="G91" s="1"/>
      <c r="H91" s="1"/>
      <c r="K91" s="1"/>
      <c r="L91" s="1"/>
    </row>
    <row r="92" spans="3:12" x14ac:dyDescent="0.25">
      <c r="C92" s="1"/>
      <c r="D92" s="1"/>
      <c r="G92" s="1"/>
      <c r="H92" s="1"/>
    </row>
    <row r="93" spans="3:12" x14ac:dyDescent="0.25">
      <c r="C93" s="1"/>
      <c r="D93" s="1"/>
      <c r="G93" s="1"/>
      <c r="H93" s="1"/>
    </row>
    <row r="94" spans="3:12" x14ac:dyDescent="0.25">
      <c r="C94" s="1"/>
      <c r="D94" s="1"/>
      <c r="G94" s="1"/>
      <c r="H94" s="1"/>
    </row>
    <row r="95" spans="3:12" x14ac:dyDescent="0.25">
      <c r="C95" s="1"/>
      <c r="D95" s="1"/>
      <c r="G95" s="1"/>
      <c r="H95" s="1"/>
    </row>
    <row r="96" spans="3:12" x14ac:dyDescent="0.25">
      <c r="C96" s="1"/>
      <c r="D96" s="1"/>
      <c r="G96" s="1"/>
      <c r="H96" s="1"/>
    </row>
    <row r="97" spans="3:8" x14ac:dyDescent="0.25">
      <c r="C97" s="1"/>
      <c r="D97" s="1"/>
      <c r="G97" s="1"/>
      <c r="H97" s="1"/>
    </row>
    <row r="98" spans="3:8" x14ac:dyDescent="0.25">
      <c r="C98" s="1"/>
      <c r="D98" s="1"/>
      <c r="G98" s="1"/>
      <c r="H98" s="1"/>
    </row>
    <row r="99" spans="3:8" x14ac:dyDescent="0.25">
      <c r="C99" s="1"/>
      <c r="D99" s="1"/>
      <c r="G99" s="1"/>
      <c r="H99" s="1"/>
    </row>
    <row r="100" spans="3:8" x14ac:dyDescent="0.25">
      <c r="C100" s="1"/>
      <c r="D100" s="1"/>
      <c r="G100" s="1"/>
      <c r="H100" s="1"/>
    </row>
    <row r="101" spans="3:8" x14ac:dyDescent="0.25">
      <c r="C101" s="1"/>
      <c r="D101" s="1"/>
      <c r="G101" s="1"/>
      <c r="H101" s="1"/>
    </row>
    <row r="102" spans="3:8" x14ac:dyDescent="0.25">
      <c r="C102" s="1"/>
      <c r="D102" s="1"/>
      <c r="G102" s="1"/>
      <c r="H102" s="1"/>
    </row>
    <row r="103" spans="3:8" x14ac:dyDescent="0.25">
      <c r="C103" s="1"/>
      <c r="D103" s="1"/>
      <c r="G103" s="1"/>
      <c r="H103" s="1"/>
    </row>
    <row r="104" spans="3:8" x14ac:dyDescent="0.25">
      <c r="C104" s="1"/>
      <c r="D104" s="1"/>
      <c r="G104" s="1"/>
      <c r="H104" s="1"/>
    </row>
    <row r="105" spans="3:8" x14ac:dyDescent="0.25">
      <c r="C105" s="1"/>
      <c r="D105" s="1"/>
      <c r="G105" s="1"/>
      <c r="H105" s="1"/>
    </row>
    <row r="106" spans="3:8" x14ac:dyDescent="0.25">
      <c r="C106" s="1"/>
      <c r="D106" s="1"/>
      <c r="G106" s="1"/>
      <c r="H106" s="1"/>
    </row>
    <row r="107" spans="3:8" x14ac:dyDescent="0.25">
      <c r="C107" s="1"/>
      <c r="D107" s="1"/>
      <c r="G107" s="1"/>
      <c r="H107" s="1"/>
    </row>
    <row r="108" spans="3:8" x14ac:dyDescent="0.25">
      <c r="C108" s="1"/>
      <c r="D108" s="1"/>
      <c r="G108" s="1"/>
      <c r="H108" s="1"/>
    </row>
    <row r="109" spans="3:8" x14ac:dyDescent="0.25">
      <c r="C109" s="1"/>
      <c r="D109" s="1"/>
      <c r="G109" s="1"/>
      <c r="H109" s="1"/>
    </row>
    <row r="110" spans="3:8" x14ac:dyDescent="0.25">
      <c r="C110" s="1"/>
      <c r="D110" s="1"/>
      <c r="G110" s="1"/>
      <c r="H110" s="1"/>
    </row>
    <row r="111" spans="3:8" x14ac:dyDescent="0.25">
      <c r="C111" s="1"/>
      <c r="D111" s="1"/>
      <c r="G111" s="1"/>
      <c r="H111" s="1"/>
    </row>
    <row r="112" spans="3:8" x14ac:dyDescent="0.25">
      <c r="C112" s="1"/>
      <c r="D112" s="1"/>
      <c r="G112" s="1"/>
      <c r="H112" s="1"/>
    </row>
    <row r="113" spans="3:8" x14ac:dyDescent="0.25">
      <c r="C113" s="1"/>
      <c r="D113" s="1"/>
      <c r="G113" s="1"/>
      <c r="H113" s="1"/>
    </row>
    <row r="114" spans="3:8" x14ac:dyDescent="0.25">
      <c r="C114" s="1"/>
      <c r="D114" s="1"/>
      <c r="G114" s="1"/>
      <c r="H114" s="1"/>
    </row>
    <row r="115" spans="3:8" x14ac:dyDescent="0.25">
      <c r="C115" s="1"/>
      <c r="D115" s="1"/>
      <c r="G115" s="1"/>
      <c r="H115" s="1"/>
    </row>
    <row r="116" spans="3:8" x14ac:dyDescent="0.25">
      <c r="C116" s="1"/>
      <c r="D116" s="1"/>
      <c r="G116" s="1"/>
      <c r="H116" s="1"/>
    </row>
    <row r="117" spans="3:8" x14ac:dyDescent="0.25">
      <c r="C117" s="1"/>
      <c r="D117" s="1"/>
      <c r="G117" s="1"/>
      <c r="H117" s="1"/>
    </row>
    <row r="118" spans="3:8" ht="19.149999999999999" customHeight="1" x14ac:dyDescent="0.25">
      <c r="C118" s="1"/>
      <c r="D118" s="1"/>
      <c r="G118" s="1"/>
      <c r="H118" s="1"/>
    </row>
    <row r="119" spans="3:8" x14ac:dyDescent="0.25">
      <c r="C119" s="1"/>
      <c r="D119" s="1"/>
      <c r="G119" s="1"/>
      <c r="H119" s="1"/>
    </row>
    <row r="120" spans="3:8" ht="15.6" customHeight="1" x14ac:dyDescent="0.25">
      <c r="C120" s="1"/>
      <c r="D120" s="1"/>
      <c r="G120" s="1"/>
      <c r="H120" s="1"/>
    </row>
    <row r="121" spans="3:8" x14ac:dyDescent="0.25">
      <c r="C121" s="1"/>
      <c r="D121" s="1"/>
      <c r="G121" s="1"/>
      <c r="H121" s="1"/>
    </row>
    <row r="122" spans="3:8" ht="15.6" customHeight="1" x14ac:dyDescent="0.25">
      <c r="C122" s="1"/>
      <c r="D122" s="1"/>
      <c r="G122" s="1"/>
      <c r="H122" s="1"/>
    </row>
    <row r="123" spans="3:8" x14ac:dyDescent="0.25">
      <c r="C123" s="1"/>
      <c r="D123" s="1"/>
      <c r="G123" s="1"/>
      <c r="H123" s="1"/>
    </row>
    <row r="124" spans="3:8" x14ac:dyDescent="0.25">
      <c r="C124" s="1"/>
      <c r="D124" s="1"/>
      <c r="G124" s="1"/>
      <c r="H124" s="1"/>
    </row>
    <row r="125" spans="3:8" ht="33.6" customHeight="1" x14ac:dyDescent="0.25">
      <c r="C125" s="1"/>
      <c r="D125" s="1"/>
      <c r="G125" s="1"/>
      <c r="H125" s="1"/>
    </row>
    <row r="126" spans="3:8" x14ac:dyDescent="0.25">
      <c r="C126" s="1"/>
      <c r="D126" s="1"/>
      <c r="G126" s="1"/>
      <c r="H126" s="1"/>
    </row>
    <row r="127" spans="3:8" x14ac:dyDescent="0.25">
      <c r="C127" s="1"/>
      <c r="D127" s="1"/>
      <c r="G127" s="1"/>
      <c r="H127" s="1"/>
    </row>
    <row r="128" spans="3:8" x14ac:dyDescent="0.25">
      <c r="C128" s="1"/>
      <c r="D128" s="1"/>
      <c r="G128" s="1"/>
      <c r="H128" s="1"/>
    </row>
    <row r="129" spans="3:8" x14ac:dyDescent="0.25">
      <c r="C129" s="1"/>
      <c r="D129" s="1"/>
      <c r="G129" s="1"/>
      <c r="H129" s="1"/>
    </row>
    <row r="130" spans="3:8" x14ac:dyDescent="0.25">
      <c r="C130" s="1"/>
      <c r="D130" s="1"/>
      <c r="G130" s="1"/>
      <c r="H130" s="1"/>
    </row>
    <row r="131" spans="3:8" x14ac:dyDescent="0.25">
      <c r="C131" s="1"/>
      <c r="D131" s="1"/>
      <c r="G131" s="1"/>
      <c r="H131" s="1"/>
    </row>
    <row r="132" spans="3:8" x14ac:dyDescent="0.25">
      <c r="C132" s="1"/>
      <c r="D132" s="1"/>
      <c r="G132" s="1"/>
      <c r="H132" s="1"/>
    </row>
    <row r="133" spans="3:8" ht="21" customHeight="1" x14ac:dyDescent="0.25">
      <c r="C133" s="1"/>
      <c r="D133" s="1"/>
      <c r="G133" s="1"/>
      <c r="H133" s="1"/>
    </row>
    <row r="134" spans="3:8" x14ac:dyDescent="0.25">
      <c r="C134" s="1"/>
      <c r="D134" s="1"/>
      <c r="G134" s="1"/>
      <c r="H134" s="1"/>
    </row>
    <row r="135" spans="3:8" x14ac:dyDescent="0.25">
      <c r="C135" s="1"/>
      <c r="D135" s="1"/>
      <c r="G135" s="1"/>
      <c r="H135" s="1"/>
    </row>
    <row r="136" spans="3:8" x14ac:dyDescent="0.25">
      <c r="C136" s="1"/>
      <c r="D136" s="1"/>
      <c r="G136" s="1"/>
      <c r="H136" s="1"/>
    </row>
    <row r="137" spans="3:8" x14ac:dyDescent="0.25">
      <c r="C137" s="1"/>
      <c r="D137" s="1"/>
      <c r="G137" s="1"/>
      <c r="H137" s="1"/>
    </row>
    <row r="138" spans="3:8" x14ac:dyDescent="0.25">
      <c r="C138" s="1"/>
      <c r="D138" s="1"/>
      <c r="G138" s="1"/>
      <c r="H138" s="1"/>
    </row>
    <row r="139" spans="3:8" ht="21" customHeight="1" x14ac:dyDescent="0.25">
      <c r="C139" s="1"/>
      <c r="D139" s="1"/>
      <c r="G139" s="1"/>
      <c r="H139" s="1"/>
    </row>
    <row r="140" spans="3:8" x14ac:dyDescent="0.25">
      <c r="C140" s="1"/>
      <c r="D140" s="1"/>
      <c r="G140" s="1"/>
      <c r="H140" s="1"/>
    </row>
    <row r="141" spans="3:8" x14ac:dyDescent="0.25">
      <c r="C141" s="1"/>
      <c r="D141" s="1"/>
      <c r="G141" s="1"/>
      <c r="H141" s="1"/>
    </row>
    <row r="142" spans="3:8" x14ac:dyDescent="0.25">
      <c r="C142" s="1"/>
      <c r="D142" s="1"/>
      <c r="G142" s="1"/>
      <c r="H142" s="1"/>
    </row>
    <row r="143" spans="3:8" x14ac:dyDescent="0.25">
      <c r="C143" s="1"/>
      <c r="D143" s="1"/>
      <c r="G143" s="1"/>
      <c r="H143" s="1"/>
    </row>
    <row r="144" spans="3:8" x14ac:dyDescent="0.25">
      <c r="C144" s="1"/>
      <c r="D144" s="1"/>
      <c r="G144" s="1"/>
      <c r="H144" s="1"/>
    </row>
    <row r="145" spans="3:8" x14ac:dyDescent="0.25">
      <c r="C145" s="1"/>
      <c r="D145" s="1"/>
      <c r="G145" s="1"/>
      <c r="H145" s="1"/>
    </row>
    <row r="146" spans="3:8" ht="18" customHeight="1" x14ac:dyDescent="0.25">
      <c r="C146" s="1"/>
      <c r="D146" s="1"/>
      <c r="G146" s="1"/>
      <c r="H146" s="1"/>
    </row>
    <row r="147" spans="3:8" x14ac:dyDescent="0.25">
      <c r="C147" s="1"/>
      <c r="D147" s="1"/>
      <c r="G147" s="1"/>
      <c r="H147" s="1"/>
    </row>
    <row r="148" spans="3:8" x14ac:dyDescent="0.25">
      <c r="C148" s="1"/>
      <c r="D148" s="1"/>
      <c r="G148" s="1"/>
      <c r="H148" s="1"/>
    </row>
    <row r="149" spans="3:8" x14ac:dyDescent="0.25">
      <c r="C149" s="1"/>
      <c r="D149" s="1"/>
      <c r="G149" s="1"/>
      <c r="H149" s="1"/>
    </row>
    <row r="150" spans="3:8" x14ac:dyDescent="0.25">
      <c r="C150" s="1"/>
      <c r="D150" s="1"/>
      <c r="G150" s="1"/>
      <c r="H150" s="1"/>
    </row>
    <row r="151" spans="3:8" x14ac:dyDescent="0.25">
      <c r="C151" s="1"/>
      <c r="D151" s="1"/>
      <c r="G151" s="1"/>
      <c r="H151" s="1"/>
    </row>
    <row r="152" spans="3:8" ht="18" customHeight="1" x14ac:dyDescent="0.25">
      <c r="C152" s="1"/>
      <c r="D152" s="1"/>
      <c r="G152" s="1"/>
      <c r="H152" s="1"/>
    </row>
    <row r="153" spans="3:8" x14ac:dyDescent="0.25">
      <c r="C153" s="1"/>
      <c r="D153" s="1"/>
      <c r="G153" s="1"/>
      <c r="H153" s="1"/>
    </row>
    <row r="154" spans="3:8" x14ac:dyDescent="0.25">
      <c r="C154" s="1"/>
      <c r="D154" s="1"/>
      <c r="G154" s="1"/>
      <c r="H154" s="1"/>
    </row>
    <row r="155" spans="3:8" x14ac:dyDescent="0.25">
      <c r="C155" s="1"/>
      <c r="D155" s="1"/>
      <c r="G155" s="1"/>
      <c r="H155" s="1"/>
    </row>
    <row r="156" spans="3:8" x14ac:dyDescent="0.25">
      <c r="C156" s="1"/>
      <c r="D156" s="1"/>
      <c r="G156" s="1"/>
      <c r="H156" s="1"/>
    </row>
    <row r="157" spans="3:8" x14ac:dyDescent="0.25">
      <c r="C157" s="1"/>
      <c r="D157" s="1"/>
      <c r="G157" s="1"/>
      <c r="H157" s="1"/>
    </row>
    <row r="158" spans="3:8" x14ac:dyDescent="0.25">
      <c r="C158" s="1"/>
      <c r="D158" s="1"/>
      <c r="G158" s="1"/>
      <c r="H158" s="1"/>
    </row>
    <row r="159" spans="3:8" x14ac:dyDescent="0.25">
      <c r="C159" s="1"/>
      <c r="D159" s="1"/>
      <c r="G159" s="1"/>
      <c r="H159" s="1"/>
    </row>
  </sheetData>
  <mergeCells count="70">
    <mergeCell ref="J67:K67"/>
    <mergeCell ref="J66:K66"/>
    <mergeCell ref="A49:A50"/>
    <mergeCell ref="A5:D5"/>
    <mergeCell ref="B45:C45"/>
    <mergeCell ref="B44:C44"/>
    <mergeCell ref="B40:C40"/>
    <mergeCell ref="B41:C41"/>
    <mergeCell ref="B14:D15"/>
    <mergeCell ref="B22:D22"/>
    <mergeCell ref="B19:D19"/>
    <mergeCell ref="B37:C37"/>
    <mergeCell ref="B58:E58"/>
    <mergeCell ref="F14:H15"/>
    <mergeCell ref="F19:H19"/>
    <mergeCell ref="F22:H22"/>
    <mergeCell ref="R47:S47"/>
    <mergeCell ref="J47:K47"/>
    <mergeCell ref="N47:O47"/>
    <mergeCell ref="B47:C47"/>
    <mergeCell ref="F47:G47"/>
    <mergeCell ref="R44:S44"/>
    <mergeCell ref="F45:G45"/>
    <mergeCell ref="J45:K45"/>
    <mergeCell ref="N45:O45"/>
    <mergeCell ref="R45:S45"/>
    <mergeCell ref="F44:G44"/>
    <mergeCell ref="J44:K44"/>
    <mergeCell ref="N44:O44"/>
    <mergeCell ref="N14:P15"/>
    <mergeCell ref="N19:P19"/>
    <mergeCell ref="N37:O37"/>
    <mergeCell ref="J14:L15"/>
    <mergeCell ref="J19:L19"/>
    <mergeCell ref="J37:K37"/>
    <mergeCell ref="F37:G37"/>
    <mergeCell ref="J22:L22"/>
    <mergeCell ref="J23:L23"/>
    <mergeCell ref="N38:O38"/>
    <mergeCell ref="F40:G40"/>
    <mergeCell ref="F23:H23"/>
    <mergeCell ref="J40:K40"/>
    <mergeCell ref="N40:O40"/>
    <mergeCell ref="F41:G41"/>
    <mergeCell ref="V39:W39"/>
    <mergeCell ref="R38:S38"/>
    <mergeCell ref="J39:K39"/>
    <mergeCell ref="F39:G39"/>
    <mergeCell ref="N39:O39"/>
    <mergeCell ref="J38:K38"/>
    <mergeCell ref="R39:S39"/>
    <mergeCell ref="F38:G38"/>
    <mergeCell ref="V40:W40"/>
    <mergeCell ref="V41:W41"/>
    <mergeCell ref="R40:S40"/>
    <mergeCell ref="R41:S41"/>
    <mergeCell ref="J41:K41"/>
    <mergeCell ref="N41:O41"/>
    <mergeCell ref="R14:T15"/>
    <mergeCell ref="R19:T19"/>
    <mergeCell ref="R22:T22"/>
    <mergeCell ref="R23:T23"/>
    <mergeCell ref="R37:S37"/>
    <mergeCell ref="V44:W44"/>
    <mergeCell ref="V45:W45"/>
    <mergeCell ref="V47:W47"/>
    <mergeCell ref="V14:X15"/>
    <mergeCell ref="V23:X23"/>
    <mergeCell ref="V37:W37"/>
    <mergeCell ref="V38:W38"/>
  </mergeCells>
  <pageMargins left="0.7" right="0.7" top="0.75" bottom="0.75" header="0.3" footer="0.3"/>
  <pageSetup paperSize="9" scale="56"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zoomScale="72" zoomScaleNormal="72" workbookViewId="0">
      <selection activeCell="A14" sqref="A14"/>
    </sheetView>
  </sheetViews>
  <sheetFormatPr defaultRowHeight="15" x14ac:dyDescent="0.25"/>
  <cols>
    <col min="1" max="1" width="40.42578125" customWidth="1"/>
    <col min="2" max="2" width="13.7109375" customWidth="1"/>
    <col min="3" max="3" width="7.42578125" customWidth="1"/>
    <col min="4" max="4" width="14.85546875" customWidth="1"/>
  </cols>
  <sheetData>
    <row r="1" spans="1:16" ht="18" customHeight="1" x14ac:dyDescent="0.25">
      <c r="A1" s="496" t="s">
        <v>176</v>
      </c>
      <c r="B1" s="497" cm="1">
        <f t="array" ref="B1:C1">'BAŞ SAYFA'!P5:Q5</f>
        <v>2622042.2999212435</v>
      </c>
      <c r="C1">
        <v>0</v>
      </c>
      <c r="D1" s="1288" t="s">
        <v>433</v>
      </c>
      <c r="E1" s="1289"/>
      <c r="F1" s="1289"/>
      <c r="G1" s="1289"/>
      <c r="H1" s="1289"/>
      <c r="I1" s="1289"/>
      <c r="J1" s="1289"/>
      <c r="K1" s="1289"/>
      <c r="L1" s="1289"/>
      <c r="M1" s="1289"/>
      <c r="N1" s="1289"/>
      <c r="O1" s="1289"/>
      <c r="P1" s="1290"/>
    </row>
    <row r="2" spans="1:16" ht="18" customHeight="1" x14ac:dyDescent="0.25">
      <c r="A2" s="498" t="s">
        <v>177</v>
      </c>
      <c r="B2" s="499">
        <f>'5 YILLIK GELECEĞİ PLANLAMA '!L47</f>
        <v>3303413.913213253</v>
      </c>
      <c r="D2" s="1291"/>
      <c r="E2" s="1292"/>
      <c r="F2" s="1292"/>
      <c r="G2" s="1292"/>
      <c r="H2" s="1292"/>
      <c r="I2" s="1292"/>
      <c r="J2" s="1292"/>
      <c r="K2" s="1292"/>
      <c r="L2" s="1292"/>
      <c r="M2" s="1292"/>
      <c r="N2" s="1292"/>
      <c r="O2" s="1292"/>
      <c r="P2" s="1293"/>
    </row>
    <row r="3" spans="1:16" ht="18" customHeight="1" x14ac:dyDescent="0.25">
      <c r="A3" s="498" t="s">
        <v>178</v>
      </c>
      <c r="B3" s="499">
        <f>'BAŞ SAYFA'!K4</f>
        <v>50</v>
      </c>
      <c r="D3" s="1291"/>
      <c r="E3" s="1292"/>
      <c r="F3" s="1292"/>
      <c r="G3" s="1292"/>
      <c r="H3" s="1292"/>
      <c r="I3" s="1292"/>
      <c r="J3" s="1292"/>
      <c r="K3" s="1292"/>
      <c r="L3" s="1292"/>
      <c r="M3" s="1292"/>
      <c r="N3" s="1292"/>
      <c r="O3" s="1292"/>
      <c r="P3" s="1293"/>
    </row>
    <row r="4" spans="1:16" ht="18" customHeight="1" x14ac:dyDescent="0.25">
      <c r="A4" s="498" t="s">
        <v>430</v>
      </c>
      <c r="B4" s="499">
        <f>'BAŞ SAYFA'!K5</f>
        <v>50</v>
      </c>
      <c r="D4" s="1291"/>
      <c r="E4" s="1292"/>
      <c r="F4" s="1292"/>
      <c r="G4" s="1292"/>
      <c r="H4" s="1292"/>
      <c r="I4" s="1292"/>
      <c r="J4" s="1292"/>
      <c r="K4" s="1292"/>
      <c r="L4" s="1292"/>
      <c r="M4" s="1292"/>
      <c r="N4" s="1292"/>
      <c r="O4" s="1292"/>
      <c r="P4" s="1293"/>
    </row>
    <row r="5" spans="1:16" ht="18" customHeight="1" x14ac:dyDescent="0.25">
      <c r="A5" s="498" t="s">
        <v>513</v>
      </c>
      <c r="B5" s="499" cm="1">
        <f t="array" ref="B5:C5">'BAŞ SAYFA'!R4:S4</f>
        <v>53806.411011396638</v>
      </c>
      <c r="C5">
        <v>0</v>
      </c>
      <c r="D5" s="1291"/>
      <c r="E5" s="1292"/>
      <c r="F5" s="1292"/>
      <c r="G5" s="1292"/>
      <c r="H5" s="1292"/>
      <c r="I5" s="1292"/>
      <c r="J5" s="1292"/>
      <c r="K5" s="1292"/>
      <c r="L5" s="1292"/>
      <c r="M5" s="1292"/>
      <c r="N5" s="1292"/>
      <c r="O5" s="1292"/>
      <c r="P5" s="1293"/>
    </row>
    <row r="6" spans="1:16" ht="18.600000000000001" customHeight="1" thickBot="1" x14ac:dyDescent="0.3">
      <c r="A6" s="498" t="s">
        <v>514</v>
      </c>
      <c r="B6" s="499" cm="1">
        <f t="array" ref="B6:C6">'BAŞ SAYFA'!R5:S5</f>
        <v>56780.967774334131</v>
      </c>
      <c r="C6">
        <v>0</v>
      </c>
      <c r="D6" s="1294"/>
      <c r="E6" s="1295"/>
      <c r="F6" s="1295"/>
      <c r="G6" s="1295"/>
      <c r="H6" s="1295"/>
      <c r="I6" s="1295"/>
      <c r="J6" s="1295"/>
      <c r="K6" s="1295"/>
      <c r="L6" s="1295"/>
      <c r="M6" s="1295"/>
      <c r="N6" s="1295"/>
      <c r="O6" s="1295"/>
      <c r="P6" s="1296"/>
    </row>
    <row r="7" spans="1:16" ht="15.75" thickBot="1" x14ac:dyDescent="0.3">
      <c r="C7" s="473"/>
      <c r="D7" s="1307" t="s">
        <v>248</v>
      </c>
      <c r="E7" s="1308"/>
      <c r="F7" s="1308"/>
      <c r="G7" s="1308"/>
      <c r="H7" s="1308"/>
      <c r="I7" s="1308"/>
      <c r="J7" s="1308"/>
      <c r="K7" s="1308"/>
      <c r="L7" s="1308"/>
      <c r="M7" s="1308"/>
      <c r="N7" s="1308"/>
      <c r="O7" s="1309"/>
    </row>
    <row r="8" spans="1:16" ht="21.75" thickBot="1" x14ac:dyDescent="0.3">
      <c r="A8" s="1300" t="s">
        <v>250</v>
      </c>
      <c r="B8" s="1301"/>
      <c r="D8" s="1310"/>
      <c r="E8" s="1311"/>
      <c r="F8" s="1311"/>
      <c r="G8" s="1311"/>
      <c r="H8" s="1311"/>
      <c r="I8" s="1311"/>
      <c r="J8" s="1311"/>
      <c r="K8" s="1311"/>
      <c r="L8" s="1311"/>
      <c r="M8" s="1311"/>
      <c r="N8" s="1311"/>
      <c r="O8" s="1312"/>
    </row>
    <row r="9" spans="1:16" ht="19.5" thickBot="1" x14ac:dyDescent="0.3">
      <c r="A9" s="500" t="s">
        <v>429</v>
      </c>
      <c r="B9" s="583">
        <f>'BAŞ SAYFA'!L5</f>
        <v>55.2</v>
      </c>
    </row>
    <row r="10" spans="1:16" ht="19.5" thickBot="1" x14ac:dyDescent="0.35">
      <c r="A10" s="501" t="s">
        <v>429</v>
      </c>
      <c r="B10" s="502">
        <f>'BAŞ SAYFA'!L6</f>
        <v>75</v>
      </c>
      <c r="E10" s="1302" t="s">
        <v>181</v>
      </c>
      <c r="F10" s="1303"/>
      <c r="G10" s="1303"/>
      <c r="H10" s="1303"/>
      <c r="I10" s="1303"/>
      <c r="J10" s="1303"/>
      <c r="K10" s="1303"/>
      <c r="L10" s="1303"/>
      <c r="M10" s="1303"/>
      <c r="N10" s="1303"/>
      <c r="O10" s="1303"/>
      <c r="P10" s="1304"/>
    </row>
    <row r="11" spans="1:16" ht="61.9" customHeight="1" x14ac:dyDescent="0.25">
      <c r="A11" s="1305" t="s">
        <v>247</v>
      </c>
      <c r="B11" s="1306"/>
      <c r="D11" s="484" t="s">
        <v>246</v>
      </c>
      <c r="E11" s="485">
        <v>45292</v>
      </c>
      <c r="F11" s="485">
        <v>45323</v>
      </c>
      <c r="G11" s="485">
        <v>45352</v>
      </c>
      <c r="H11" s="485">
        <v>45383</v>
      </c>
      <c r="I11" s="485">
        <v>45413</v>
      </c>
      <c r="J11" s="485">
        <v>45444</v>
      </c>
      <c r="K11" s="485">
        <v>45474</v>
      </c>
      <c r="L11" s="485">
        <v>45505</v>
      </c>
      <c r="M11" s="485">
        <v>45536</v>
      </c>
      <c r="N11" s="485">
        <v>45566</v>
      </c>
      <c r="O11" s="485">
        <v>45597</v>
      </c>
      <c r="P11" s="485">
        <v>45627</v>
      </c>
    </row>
    <row r="12" spans="1:16" ht="23.45" customHeight="1" x14ac:dyDescent="0.25">
      <c r="A12" s="266">
        <f>D12+E12</f>
        <v>3363789.1773049487</v>
      </c>
      <c r="B12" s="267">
        <v>45292</v>
      </c>
      <c r="D12" s="486">
        <f>'5 YILLIK GELECEĞİ PLANLAMA '!O24</f>
        <v>3249719.913213253</v>
      </c>
      <c r="E12" s="280">
        <f>'5 YILLIK GELECEĞİ PLANLAMA '!P24</f>
        <v>114069.26409169582</v>
      </c>
      <c r="F12" s="264"/>
      <c r="G12" s="264"/>
      <c r="H12" s="264"/>
      <c r="I12" s="265"/>
      <c r="J12" s="265"/>
      <c r="K12" s="265"/>
      <c r="L12" s="265"/>
      <c r="M12" s="265"/>
      <c r="N12" s="265"/>
      <c r="O12" s="265"/>
      <c r="P12" s="487"/>
    </row>
    <row r="13" spans="1:16" ht="20.45" customHeight="1" x14ac:dyDescent="0.25">
      <c r="A13" s="266">
        <f>D13+E13+F13</f>
        <v>3495962.0627226974</v>
      </c>
      <c r="B13" s="267">
        <v>45323</v>
      </c>
      <c r="D13" s="488">
        <f>'5 YILLIK GELECEĞİ PLANLAMA '!O25</f>
        <v>3196025.913213253</v>
      </c>
      <c r="E13" s="280">
        <f>'5 YILLIK GELECEĞİ PLANLAMA '!P24</f>
        <v>114069.26409169582</v>
      </c>
      <c r="F13" s="284">
        <f>'5 YILLIK GELECEĞİ PLANLAMA '!P25</f>
        <v>185866.8854177488</v>
      </c>
      <c r="G13" s="264"/>
      <c r="H13" s="264"/>
      <c r="I13" s="265"/>
      <c r="J13" s="265"/>
      <c r="K13" s="265"/>
      <c r="L13" s="265"/>
      <c r="M13" s="265"/>
      <c r="N13" s="265"/>
      <c r="O13" s="265"/>
      <c r="P13" s="487"/>
    </row>
    <row r="14" spans="1:16" ht="21" x14ac:dyDescent="0.25">
      <c r="A14" s="266">
        <f>D14+E14+F14+G14</f>
        <v>3644416.2434958704</v>
      </c>
      <c r="B14" s="267">
        <v>45352</v>
      </c>
      <c r="D14" s="489">
        <f>'5 YILLIK GELECEĞİ PLANLAMA '!O26</f>
        <v>3142331.913213253</v>
      </c>
      <c r="E14" s="268">
        <f>'5 YILLIK GELECEĞİ PLANLAMA '!P24</f>
        <v>114069.26409169582</v>
      </c>
      <c r="F14" s="268">
        <f>'5 YILLIK GELECEĞİ PLANLAMA '!P25</f>
        <v>185866.8854177488</v>
      </c>
      <c r="G14" s="268">
        <f>'5 YILLIK GELECEĞİ PLANLAMA '!P26</f>
        <v>202148.18077317294</v>
      </c>
      <c r="H14" s="471"/>
      <c r="I14" s="265"/>
      <c r="J14" s="265"/>
      <c r="K14" s="265"/>
      <c r="L14" s="265"/>
      <c r="M14" s="265"/>
      <c r="N14" s="265"/>
      <c r="O14" s="265"/>
      <c r="P14" s="487"/>
    </row>
    <row r="15" spans="1:16" ht="21" x14ac:dyDescent="0.25">
      <c r="A15" s="269">
        <f>D15+E15+F15+G15+H15</f>
        <v>3783103.6737624407</v>
      </c>
      <c r="B15" s="270">
        <v>45383</v>
      </c>
      <c r="D15" s="490">
        <f>'5 YILLIK GELECEĞİ PLANLAMA '!O27</f>
        <v>3088637.913213253</v>
      </c>
      <c r="E15" s="271">
        <f>'5 YILLIK GELECEĞİ PLANLAMA '!P24</f>
        <v>114069.26409169582</v>
      </c>
      <c r="F15" s="271">
        <f>'5 YILLIK GELECEĞİ PLANLAMA '!P25</f>
        <v>185866.8854177488</v>
      </c>
      <c r="G15" s="271">
        <f>'5 YILLIK GELECEĞİ PLANLAMA '!P26</f>
        <v>202148.18077317294</v>
      </c>
      <c r="H15" s="271">
        <f>'5 YILLIK GELECEĞİ PLANLAMA '!P27</f>
        <v>192381.43026657039</v>
      </c>
      <c r="I15" s="265"/>
      <c r="J15" s="265"/>
      <c r="K15" s="265"/>
      <c r="L15" s="265"/>
      <c r="M15" s="265"/>
      <c r="N15" s="265"/>
      <c r="O15" s="265"/>
      <c r="P15" s="487"/>
    </row>
    <row r="16" spans="1:16" ht="21" x14ac:dyDescent="0.25">
      <c r="A16" s="272">
        <f>D16+E16+F16+G16+H16+I16</f>
        <v>3924717.3860424631</v>
      </c>
      <c r="B16" s="273">
        <v>45413</v>
      </c>
      <c r="D16" s="491">
        <f>'5 YILLIK GELECEĞİ PLANLAMA '!O28</f>
        <v>3034943.913213253</v>
      </c>
      <c r="E16" s="274">
        <f>'5 YILLIK GELECEĞİ PLANLAMA '!P24</f>
        <v>114069.26409169582</v>
      </c>
      <c r="F16" s="274">
        <f>'5 YILLIK GELECEĞİ PLANLAMA '!P25</f>
        <v>185866.8854177488</v>
      </c>
      <c r="G16" s="274">
        <f>'5 YILLIK GELECEĞİ PLANLAMA '!P26</f>
        <v>202148.18077317294</v>
      </c>
      <c r="H16" s="274">
        <f>'5 YILLIK GELECEĞİ PLANLAMA '!P27</f>
        <v>192381.43026657039</v>
      </c>
      <c r="I16" s="274">
        <f>'5 YILLIK GELECEĞİ PLANLAMA '!P28</f>
        <v>195307.71228002227</v>
      </c>
      <c r="J16" s="265"/>
      <c r="K16" s="265"/>
      <c r="L16" s="265"/>
      <c r="M16" s="265"/>
      <c r="N16" s="265"/>
      <c r="O16" s="265"/>
      <c r="P16" s="487"/>
    </row>
    <row r="17" spans="1:16" ht="21" x14ac:dyDescent="0.25">
      <c r="A17" s="275">
        <f>D17+E17+F17+G17+H17+I17+J17</f>
        <v>3163848.4504726971</v>
      </c>
      <c r="B17" s="276">
        <v>45444</v>
      </c>
      <c r="D17" s="492">
        <f>'5 YILLIK GELECEĞİ PLANLAMA '!O29</f>
        <v>2978162.9454389187</v>
      </c>
      <c r="E17" s="277"/>
      <c r="F17" s="277"/>
      <c r="G17" s="277"/>
      <c r="H17" s="277"/>
      <c r="I17" s="277"/>
      <c r="J17" s="277">
        <f>'5 YILLIK GELECEĞİ PLANLAMA '!P29</f>
        <v>185685.50503377855</v>
      </c>
      <c r="K17" s="265"/>
      <c r="L17" s="265"/>
      <c r="M17" s="265"/>
      <c r="N17" s="265"/>
      <c r="O17" s="265"/>
      <c r="P17" s="487"/>
    </row>
    <row r="18" spans="1:16" ht="21" x14ac:dyDescent="0.25">
      <c r="A18" s="278">
        <f>D18+E18+F18+G18+H18+I18+J18+K18</f>
        <v>3109570.1257348722</v>
      </c>
      <c r="B18" s="279">
        <v>45474</v>
      </c>
      <c r="D18" s="486">
        <f>'5 YILLIK GELECEĞİ PLANLAMA '!O30</f>
        <v>2921381.9776645843</v>
      </c>
      <c r="E18" s="281"/>
      <c r="F18" s="281"/>
      <c r="G18" s="281"/>
      <c r="H18" s="281"/>
      <c r="I18" s="281"/>
      <c r="J18" s="281"/>
      <c r="K18" s="281">
        <f>'5 YILLIK GELECEĞİ PLANLAMA '!P30</f>
        <v>188188.14807028792</v>
      </c>
      <c r="L18" s="265"/>
      <c r="M18" s="265"/>
      <c r="N18" s="265"/>
      <c r="O18" s="265"/>
      <c r="P18" s="487"/>
    </row>
    <row r="19" spans="1:16" ht="21" x14ac:dyDescent="0.25">
      <c r="A19" s="282">
        <f>D19+E19+F19+G19+H19+I19+J19+K19+L19</f>
        <v>3049172.2880954603</v>
      </c>
      <c r="B19" s="283">
        <v>45505</v>
      </c>
      <c r="D19" s="488">
        <f>'5 YILLIK GELECEĞİ PLANLAMA '!O31</f>
        <v>2864601.0098902499</v>
      </c>
      <c r="E19" s="285"/>
      <c r="F19" s="286"/>
      <c r="G19" s="286"/>
      <c r="H19" s="286"/>
      <c r="I19" s="286"/>
      <c r="J19" s="286"/>
      <c r="K19" s="286"/>
      <c r="L19" s="286">
        <f>'5 YILLIK GELECEĞİ PLANLAMA '!P31</f>
        <v>184571.27820521046</v>
      </c>
      <c r="M19" s="265"/>
      <c r="N19" s="265"/>
      <c r="O19" s="265"/>
      <c r="P19" s="487"/>
    </row>
    <row r="20" spans="1:16" ht="21" x14ac:dyDescent="0.25">
      <c r="A20" s="266">
        <f>D20+E20+F20+G20+H20+I20+J20+K20+L20+M20</f>
        <v>2983004.957218824</v>
      </c>
      <c r="B20" s="267">
        <v>45536</v>
      </c>
      <c r="D20" s="489">
        <f>'5 YILLIK GELECEĞİ PLANLAMA '!O32</f>
        <v>2807820.0421159156</v>
      </c>
      <c r="E20" s="268"/>
      <c r="F20" s="268"/>
      <c r="G20" s="268"/>
      <c r="H20" s="268"/>
      <c r="I20" s="268"/>
      <c r="J20" s="268"/>
      <c r="K20" s="268"/>
      <c r="L20" s="268"/>
      <c r="M20" s="268">
        <f>'5 YILLIK GELECEĞİ PLANLAMA '!P32</f>
        <v>175184.9151029085</v>
      </c>
      <c r="N20" s="265"/>
      <c r="O20" s="265"/>
      <c r="P20" s="487"/>
    </row>
    <row r="21" spans="1:16" ht="21" x14ac:dyDescent="0.25">
      <c r="A21" s="287">
        <f>D21+E21+F21+G21+H21+I21+J21+K21+L21+M21+N21</f>
        <v>2928376.6128166369</v>
      </c>
      <c r="B21" s="288">
        <v>45566</v>
      </c>
      <c r="D21" s="493">
        <f>'5 YILLIK GELECEĞİ PLANLAMA '!O33</f>
        <v>2751039.0743415812</v>
      </c>
      <c r="E21" s="289"/>
      <c r="F21" s="289"/>
      <c r="G21" s="289"/>
      <c r="H21" s="289"/>
      <c r="I21" s="289"/>
      <c r="J21" s="289"/>
      <c r="K21" s="289"/>
      <c r="L21" s="289"/>
      <c r="M21" s="289"/>
      <c r="N21" s="289">
        <f>'5 YILLIK GELECEĞİ PLANLAMA '!P33</f>
        <v>177337.53847505551</v>
      </c>
      <c r="O21" s="265"/>
      <c r="P21" s="487"/>
    </row>
    <row r="22" spans="1:16" ht="21" x14ac:dyDescent="0.25">
      <c r="A22" s="272">
        <f>D22+E22+F22+G22+H22+I22+J22+K22+L22+M22+N22+O22</f>
        <v>2862442.6283829086</v>
      </c>
      <c r="B22" s="273">
        <v>45597</v>
      </c>
      <c r="D22" s="491">
        <f>'5 YILLIK GELECEĞİ PLANLAMA '!O34</f>
        <v>2694258.1065672468</v>
      </c>
      <c r="E22" s="274"/>
      <c r="F22" s="274"/>
      <c r="G22" s="274"/>
      <c r="H22" s="274"/>
      <c r="I22" s="274"/>
      <c r="J22" s="274"/>
      <c r="K22" s="274"/>
      <c r="L22" s="274"/>
      <c r="M22" s="274"/>
      <c r="N22" s="274"/>
      <c r="O22" s="274">
        <f>'5 YILLIK GELECEĞİ PLANLAMA '!P34</f>
        <v>168184.52181566181</v>
      </c>
      <c r="P22" s="487"/>
    </row>
    <row r="23" spans="1:16" ht="21.75" thickBot="1" x14ac:dyDescent="0.3">
      <c r="A23" s="503">
        <f>D23+E23+F23+G23+H23+I23+J23+K23+L23+M23+N23+O23+P23</f>
        <v>2883453.567557883</v>
      </c>
      <c r="B23" s="504">
        <v>45627</v>
      </c>
      <c r="D23" s="494">
        <f>'5 YILLIK GELECEĞİ PLANLAMA '!O35</f>
        <v>2637477.1387929125</v>
      </c>
      <c r="E23" s="495"/>
      <c r="F23" s="495"/>
      <c r="G23" s="495"/>
      <c r="H23" s="495"/>
      <c r="I23" s="495"/>
      <c r="J23" s="495"/>
      <c r="K23" s="495"/>
      <c r="L23" s="495"/>
      <c r="M23" s="495"/>
      <c r="N23" s="495"/>
      <c r="O23" s="495"/>
      <c r="P23" s="495">
        <f>'5 YILLIK GELECEĞİ PLANLAMA '!P35</f>
        <v>245976.42876497068</v>
      </c>
    </row>
    <row r="24" spans="1:16" ht="9" customHeight="1" thickBot="1" x14ac:dyDescent="0.3"/>
    <row r="25" spans="1:16" ht="55.15" customHeight="1" thickBot="1" x14ac:dyDescent="0.3">
      <c r="A25" s="468">
        <f>'AYRINTILI BİLGİLER'!N13</f>
        <v>3303413.913213253</v>
      </c>
      <c r="B25" s="1297" t="s">
        <v>434</v>
      </c>
      <c r="C25" s="1298"/>
      <c r="D25" s="1298"/>
      <c r="E25" s="1298"/>
      <c r="F25" s="1298"/>
      <c r="G25" s="1298"/>
      <c r="H25" s="1298"/>
      <c r="I25" s="1298"/>
      <c r="J25" s="1299"/>
    </row>
    <row r="26" spans="1:16" x14ac:dyDescent="0.25">
      <c r="A26" s="472">
        <f>A23-'AYRINTILI BİLGİLER'!P12-'AYRINTILI BİLGİLER'!Q12-'5 YILLIK GELECEĞİ PLANLAMA '!M23</f>
        <v>2842598.6532483785</v>
      </c>
    </row>
  </sheetData>
  <mergeCells count="6">
    <mergeCell ref="D1:P6"/>
    <mergeCell ref="B25:J25"/>
    <mergeCell ref="A8:B8"/>
    <mergeCell ref="E10:P10"/>
    <mergeCell ref="A11:B11"/>
    <mergeCell ref="D7:O8"/>
  </mergeCells>
  <pageMargins left="0.7" right="0.7" top="0.75" bottom="0.75" header="0.3" footer="0.3"/>
  <pageSetup paperSize="9" orientation="portrait" horizontalDpi="4294967293"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8"/>
  <sheetViews>
    <sheetView topLeftCell="A21" workbookViewId="0">
      <selection activeCell="B28" sqref="B28:D58"/>
    </sheetView>
  </sheetViews>
  <sheetFormatPr defaultRowHeight="15" x14ac:dyDescent="0.25"/>
  <cols>
    <col min="1" max="1" width="15.140625" customWidth="1"/>
    <col min="2" max="2" width="22.5703125" customWidth="1"/>
    <col min="3" max="3" width="14" customWidth="1"/>
    <col min="4" max="4" width="14.7109375" customWidth="1"/>
    <col min="5" max="5" width="10.140625" bestFit="1" customWidth="1"/>
  </cols>
  <sheetData>
    <row r="1" spans="1:17" ht="18.75" x14ac:dyDescent="0.25">
      <c r="A1" s="496" t="s">
        <v>176</v>
      </c>
      <c r="B1" s="497">
        <f>'5 YILLIK GELECEĞİ PLANLAMA '!K16</f>
        <v>1981635.34</v>
      </c>
      <c r="D1" s="1288" t="s">
        <v>433</v>
      </c>
      <c r="E1" s="1289"/>
      <c r="F1" s="1289"/>
      <c r="G1" s="1289"/>
      <c r="H1" s="1289"/>
      <c r="I1" s="1289"/>
      <c r="J1" s="1289"/>
      <c r="K1" s="1289"/>
      <c r="L1" s="1289"/>
      <c r="M1" s="1289"/>
      <c r="N1" s="1289"/>
      <c r="O1" s="1289"/>
      <c r="P1" s="1290"/>
    </row>
    <row r="2" spans="1:17" ht="18.75" x14ac:dyDescent="0.25">
      <c r="A2" s="498" t="s">
        <v>177</v>
      </c>
      <c r="B2" s="499">
        <f>'5 YILLIK GELECEĞİ PLANLAMA '!K18</f>
        <v>2625963.34</v>
      </c>
      <c r="D2" s="1291"/>
      <c r="E2" s="1292"/>
      <c r="F2" s="1292"/>
      <c r="G2" s="1292"/>
      <c r="H2" s="1292"/>
      <c r="I2" s="1292"/>
      <c r="J2" s="1292"/>
      <c r="K2" s="1292"/>
      <c r="L2" s="1292"/>
      <c r="M2" s="1292"/>
      <c r="N2" s="1292"/>
      <c r="O2" s="1292"/>
      <c r="P2" s="1293"/>
    </row>
    <row r="3" spans="1:17" ht="18.75" x14ac:dyDescent="0.25">
      <c r="A3" s="498" t="s">
        <v>178</v>
      </c>
      <c r="B3" s="499">
        <f>'BAŞ SAYFA'!K4</f>
        <v>50</v>
      </c>
      <c r="D3" s="1291"/>
      <c r="E3" s="1292"/>
      <c r="F3" s="1292"/>
      <c r="G3" s="1292"/>
      <c r="H3" s="1292"/>
      <c r="I3" s="1292"/>
      <c r="J3" s="1292"/>
      <c r="K3" s="1292"/>
      <c r="L3" s="1292"/>
      <c r="M3" s="1292"/>
      <c r="N3" s="1292"/>
      <c r="O3" s="1292"/>
      <c r="P3" s="1293"/>
    </row>
    <row r="4" spans="1:17" ht="18.75" x14ac:dyDescent="0.25">
      <c r="A4" s="498" t="s">
        <v>430</v>
      </c>
      <c r="B4" s="499">
        <f>'BAŞ SAYFA'!K5</f>
        <v>50</v>
      </c>
      <c r="D4" s="1291"/>
      <c r="E4" s="1292"/>
      <c r="F4" s="1292"/>
      <c r="G4" s="1292"/>
      <c r="H4" s="1292"/>
      <c r="I4" s="1292"/>
      <c r="J4" s="1292"/>
      <c r="K4" s="1292"/>
      <c r="L4" s="1292"/>
      <c r="M4" s="1292"/>
      <c r="N4" s="1292"/>
      <c r="O4" s="1292"/>
      <c r="P4" s="1293"/>
    </row>
    <row r="5" spans="1:17" ht="18.75" x14ac:dyDescent="0.25">
      <c r="A5" s="498" t="s">
        <v>431</v>
      </c>
      <c r="B5" s="499">
        <f>'BAŞ SAYFA'!E8</f>
        <v>39250</v>
      </c>
      <c r="D5" s="1291"/>
      <c r="E5" s="1292"/>
      <c r="F5" s="1292"/>
      <c r="G5" s="1292"/>
      <c r="H5" s="1292"/>
      <c r="I5" s="1292"/>
      <c r="J5" s="1292"/>
      <c r="K5" s="1292"/>
      <c r="L5" s="1292"/>
      <c r="M5" s="1292"/>
      <c r="N5" s="1292"/>
      <c r="O5" s="1292"/>
      <c r="P5" s="1293"/>
    </row>
    <row r="6" spans="1:17" ht="19.5" thickBot="1" x14ac:dyDescent="0.3">
      <c r="A6" s="498" t="s">
        <v>432</v>
      </c>
      <c r="B6" s="499" cm="1">
        <f t="array" ref="B6:C6">'BAŞ SAYFA'!R4:S4</f>
        <v>53806.411011396638</v>
      </c>
      <c r="C6">
        <v>0</v>
      </c>
      <c r="D6" s="1294"/>
      <c r="E6" s="1295"/>
      <c r="F6" s="1295"/>
      <c r="G6" s="1295"/>
      <c r="H6" s="1295"/>
      <c r="I6" s="1295"/>
      <c r="J6" s="1295"/>
      <c r="K6" s="1295"/>
      <c r="L6" s="1295"/>
      <c r="M6" s="1295"/>
      <c r="N6" s="1295"/>
      <c r="O6" s="1295"/>
      <c r="P6" s="1296"/>
    </row>
    <row r="7" spans="1:17" ht="15.75" thickBot="1" x14ac:dyDescent="0.3">
      <c r="C7" s="473"/>
      <c r="D7" s="1307" t="s">
        <v>248</v>
      </c>
      <c r="E7" s="1308"/>
      <c r="F7" s="1308"/>
      <c r="G7" s="1308"/>
      <c r="H7" s="1308"/>
      <c r="I7" s="1308"/>
      <c r="J7" s="1308"/>
      <c r="K7" s="1308"/>
      <c r="L7" s="1308"/>
      <c r="M7" s="1308"/>
      <c r="N7" s="1308"/>
      <c r="O7" s="1309"/>
    </row>
    <row r="8" spans="1:17" ht="21.75" thickBot="1" x14ac:dyDescent="0.3">
      <c r="A8" s="1300" t="s">
        <v>250</v>
      </c>
      <c r="B8" s="1301"/>
      <c r="D8" s="1310"/>
      <c r="E8" s="1311"/>
      <c r="F8" s="1311"/>
      <c r="G8" s="1311"/>
      <c r="H8" s="1311"/>
      <c r="I8" s="1311"/>
      <c r="J8" s="1311"/>
      <c r="K8" s="1311"/>
      <c r="L8" s="1311"/>
      <c r="M8" s="1311"/>
      <c r="N8" s="1311"/>
      <c r="O8" s="1312"/>
    </row>
    <row r="9" spans="1:17" ht="19.5" thickBot="1" x14ac:dyDescent="0.3">
      <c r="A9" s="500" t="s">
        <v>180</v>
      </c>
      <c r="B9" s="583">
        <f>'BAŞ SAYFA'!L4</f>
        <v>77.099999999999994</v>
      </c>
    </row>
    <row r="10" spans="1:17" ht="19.5" thickBot="1" x14ac:dyDescent="0.35">
      <c r="A10" s="501" t="s">
        <v>429</v>
      </c>
      <c r="B10" s="502">
        <f>'BAŞ SAYFA'!L5</f>
        <v>55.2</v>
      </c>
      <c r="E10" s="1302" t="s">
        <v>181</v>
      </c>
      <c r="F10" s="1303"/>
      <c r="G10" s="1303"/>
      <c r="H10" s="1303"/>
      <c r="I10" s="1303"/>
      <c r="J10" s="1303"/>
      <c r="K10" s="1303"/>
      <c r="L10" s="1303"/>
      <c r="M10" s="1303"/>
      <c r="N10" s="1303"/>
      <c r="O10" s="1303"/>
      <c r="P10" s="1304"/>
    </row>
    <row r="11" spans="1:17" ht="60" x14ac:dyDescent="0.25">
      <c r="A11" s="1305" t="s">
        <v>247</v>
      </c>
      <c r="B11" s="1306"/>
      <c r="D11" s="484" t="s">
        <v>246</v>
      </c>
      <c r="E11" s="485">
        <v>45292</v>
      </c>
      <c r="F11" s="485">
        <v>45323</v>
      </c>
      <c r="G11" s="485">
        <v>45352</v>
      </c>
      <c r="H11" s="485">
        <v>45383</v>
      </c>
      <c r="I11" s="485">
        <v>45413</v>
      </c>
      <c r="J11" s="485">
        <v>45444</v>
      </c>
      <c r="K11" s="485">
        <v>45474</v>
      </c>
      <c r="L11" s="485">
        <v>45505</v>
      </c>
      <c r="M11" s="485">
        <v>45536</v>
      </c>
      <c r="N11" s="485">
        <v>45566</v>
      </c>
      <c r="O11" s="485">
        <v>45597</v>
      </c>
      <c r="P11" s="485">
        <v>45627</v>
      </c>
    </row>
    <row r="12" spans="1:17" ht="21" x14ac:dyDescent="0.25">
      <c r="A12" s="266">
        <f>D12+E12</f>
        <v>2623591.1536399997</v>
      </c>
      <c r="B12" s="267">
        <v>45292</v>
      </c>
      <c r="D12" s="486">
        <f>('5 YILLIK GELECEĞİ PLANLAMA '!K18)-(3*'BAŞ SAYFA'!E8)</f>
        <v>2508213.34</v>
      </c>
      <c r="E12" s="280">
        <f>(D12*'5 YILLIK GELECEĞİ PLANLAMA '!K21)/100</f>
        <v>115377.81364000001</v>
      </c>
      <c r="F12" s="264"/>
      <c r="G12" s="264"/>
      <c r="H12" s="264"/>
      <c r="I12" s="265"/>
      <c r="J12" s="265"/>
      <c r="K12" s="265"/>
      <c r="L12" s="265"/>
      <c r="M12" s="265"/>
      <c r="N12" s="265"/>
      <c r="O12" s="265"/>
      <c r="P12" s="487"/>
      <c r="Q12">
        <v>123868</v>
      </c>
    </row>
    <row r="13" spans="1:17" ht="21" x14ac:dyDescent="0.25">
      <c r="A13" s="266">
        <f>D13+E13+F13</f>
        <v>175741.45031671232</v>
      </c>
      <c r="B13" s="267">
        <v>45323</v>
      </c>
      <c r="D13" s="488"/>
      <c r="E13" s="285">
        <f>'5 YILLIK GELECEĞİ PLANLAMA '!L24</f>
        <v>66800.131459068492</v>
      </c>
      <c r="F13" s="284">
        <f>'5 YILLIK GELECEĞİ PLANLAMA '!L25</f>
        <v>108941.31885764384</v>
      </c>
      <c r="G13" s="264"/>
      <c r="H13" s="264"/>
      <c r="I13" s="265"/>
      <c r="J13" s="265"/>
      <c r="K13" s="265"/>
      <c r="L13" s="265"/>
      <c r="M13" s="265"/>
      <c r="N13" s="265"/>
      <c r="O13" s="265"/>
      <c r="P13" s="487"/>
    </row>
    <row r="14" spans="1:17" ht="21" x14ac:dyDescent="0.25">
      <c r="A14" s="266">
        <f>D14+E14+F14+G14</f>
        <v>294400.44942378078</v>
      </c>
      <c r="B14" s="267">
        <v>45352</v>
      </c>
      <c r="D14" s="489"/>
      <c r="E14" s="268">
        <f>'5 YILLIK GELECEĞİ PLANLAMA '!$L$24</f>
        <v>66800.131459068492</v>
      </c>
      <c r="F14" s="268">
        <f>'5 YILLIK GELECEĞİ PLANLAMA '!$L$25</f>
        <v>108941.31885764384</v>
      </c>
      <c r="G14" s="268">
        <f>'5 YILLIK GELECEĞİ PLANLAMA '!$L$26</f>
        <v>118658.99910706849</v>
      </c>
      <c r="H14" s="471"/>
      <c r="I14" s="265"/>
      <c r="J14" s="265"/>
      <c r="K14" s="265"/>
      <c r="L14" s="265"/>
      <c r="M14" s="265"/>
      <c r="N14" s="265"/>
      <c r="O14" s="265"/>
      <c r="P14" s="487"/>
    </row>
    <row r="15" spans="1:17" ht="21" x14ac:dyDescent="0.25">
      <c r="A15" s="269">
        <f>D15+E15+F15+G15+H15</f>
        <v>2876448.7782193972</v>
      </c>
      <c r="B15" s="270">
        <v>45383</v>
      </c>
      <c r="D15" s="490">
        <f>'5 YILLIK GELECEĞİ PLANLAMA '!$K$27</f>
        <v>2468963.34</v>
      </c>
      <c r="E15" s="271">
        <f>'5 YILLIK GELECEĞİ PLANLAMA '!$L$24</f>
        <v>66800.131459068492</v>
      </c>
      <c r="F15" s="271">
        <f>'5 YILLIK GELECEĞİ PLANLAMA '!$L$25</f>
        <v>108941.31885764384</v>
      </c>
      <c r="G15" s="271">
        <f>'5 YILLIK GELECEĞİ PLANLAMA '!$L$26</f>
        <v>118658.99910706849</v>
      </c>
      <c r="H15" s="271">
        <f>'5 YILLIK GELECEĞİ PLANLAMA '!$L$27</f>
        <v>113084.98879561643</v>
      </c>
      <c r="I15" s="265"/>
      <c r="J15" s="265"/>
      <c r="K15" s="265"/>
      <c r="L15" s="265"/>
      <c r="M15" s="265"/>
      <c r="N15" s="265"/>
      <c r="O15" s="265"/>
      <c r="P15" s="487"/>
    </row>
    <row r="16" spans="1:17" ht="21" x14ac:dyDescent="0.25">
      <c r="A16" s="272">
        <f>D16+E16+F16+G16+H16+I16</f>
        <v>2952177.5252716714</v>
      </c>
      <c r="B16" s="273">
        <v>45413</v>
      </c>
      <c r="D16" s="491">
        <f>'5 YILLIK GELECEĞİ PLANLAMA '!$K$28</f>
        <v>2429713.34</v>
      </c>
      <c r="E16" s="274">
        <f>'5 YILLIK GELECEĞİ PLANLAMA '!$L$24</f>
        <v>66800.131459068492</v>
      </c>
      <c r="F16" s="274">
        <f>'5 YILLIK GELECEĞİ PLANLAMA '!$L$25</f>
        <v>108941.31885764384</v>
      </c>
      <c r="G16" s="274">
        <f>'5 YILLIK GELECEĞİ PLANLAMA '!$L$26</f>
        <v>118658.99910706849</v>
      </c>
      <c r="H16" s="274">
        <f t="shared" ref="H16:H23" si="0">H15</f>
        <v>113084.98879561643</v>
      </c>
      <c r="I16" s="274">
        <f>'5 YILLIK GELECEĞİ PLANLAMA '!$L$28</f>
        <v>114978.74705227396</v>
      </c>
      <c r="J16" s="265"/>
      <c r="K16" s="265"/>
      <c r="L16" s="265"/>
      <c r="M16" s="265"/>
      <c r="N16" s="265"/>
      <c r="O16" s="265"/>
      <c r="P16" s="487"/>
    </row>
    <row r="17" spans="1:16" ht="21" x14ac:dyDescent="0.25">
      <c r="A17" s="275">
        <f>D17+E17+F17+G17+H17+I17+J17</f>
        <v>3007744.8509001643</v>
      </c>
      <c r="B17" s="276">
        <v>45444</v>
      </c>
      <c r="D17" s="492">
        <f>'5 YILLIK GELECEĞİ PLANLAMA '!$K$29</f>
        <v>2376019.34</v>
      </c>
      <c r="E17" s="277">
        <f>'5 YILLIK GELECEĞİ PLANLAMA '!$L$24</f>
        <v>66800.131459068492</v>
      </c>
      <c r="F17" s="277">
        <f>'5 YILLIK GELECEĞİ PLANLAMA '!$L$25</f>
        <v>108941.31885764384</v>
      </c>
      <c r="G17" s="277">
        <f>'5 YILLIK GELECEĞİ PLANLAMA '!$L$26</f>
        <v>118658.99910706849</v>
      </c>
      <c r="H17" s="277">
        <f t="shared" si="0"/>
        <v>113084.98879561643</v>
      </c>
      <c r="I17" s="277">
        <f>'5 YILLIK GELECEĞİ PLANLAMA '!$L$28</f>
        <v>114978.74705227396</v>
      </c>
      <c r="J17" s="277">
        <f>'5 YILLIK GELECEĞİ PLANLAMA '!$L$29</f>
        <v>109261.32562849314</v>
      </c>
      <c r="K17" s="265"/>
      <c r="L17" s="265"/>
      <c r="M17" s="265"/>
      <c r="N17" s="265"/>
      <c r="O17" s="265"/>
      <c r="P17" s="487"/>
    </row>
    <row r="18" spans="1:16" ht="21" x14ac:dyDescent="0.25">
      <c r="A18" s="278">
        <f>D18+E18+F18+G18+H18+I18+J18+K18</f>
        <v>3064388.2065223013</v>
      </c>
      <c r="B18" s="279">
        <v>45474</v>
      </c>
      <c r="D18" s="486">
        <f>'5 YILLIK GELECEĞİ PLANLAMA '!$K$30</f>
        <v>2322325.34</v>
      </c>
      <c r="E18" s="281">
        <f>'5 YILLIK GELECEĞİ PLANLAMA '!$L$24</f>
        <v>66800.131459068492</v>
      </c>
      <c r="F18" s="281">
        <f>'5 YILLIK GELECEĞİ PLANLAMA '!$L$25</f>
        <v>108941.31885764384</v>
      </c>
      <c r="G18" s="281">
        <f>'5 YILLIK GELECEĞİ PLANLAMA '!$L$26</f>
        <v>118658.99910706849</v>
      </c>
      <c r="H18" s="281">
        <f t="shared" si="0"/>
        <v>113084.98879561643</v>
      </c>
      <c r="I18" s="281">
        <f>'5 YILLIK GELECEĞİ PLANLAMA '!$L$28</f>
        <v>114978.74705227396</v>
      </c>
      <c r="J18" s="281">
        <f>'5 YILLIK GELECEĞİ PLANLAMA '!$L$29</f>
        <v>109261.32562849314</v>
      </c>
      <c r="K18" s="281">
        <f>'5 YILLIK GELECEĞİ PLANLAMA '!$L$30</f>
        <v>110337.35562213698</v>
      </c>
      <c r="L18" s="265"/>
      <c r="M18" s="265"/>
      <c r="N18" s="265"/>
      <c r="O18" s="265"/>
      <c r="P18" s="487"/>
    </row>
    <row r="19" spans="1:16" ht="21" x14ac:dyDescent="0.25">
      <c r="A19" s="282">
        <f>D19+E19+F19+G19+H19+I19+J19+K19+L19</f>
        <v>3118514.2697389587</v>
      </c>
      <c r="B19" s="283">
        <v>45505</v>
      </c>
      <c r="D19" s="488">
        <f>'5 YILLIK GELECEĞİ PLANLAMA '!$K$31</f>
        <v>2268631.34</v>
      </c>
      <c r="E19" s="285">
        <f>'5 YILLIK GELECEĞİ PLANLAMA '!$L$24</f>
        <v>66800.131459068492</v>
      </c>
      <c r="F19" s="286">
        <f>'5 YILLIK GELECEĞİ PLANLAMA '!$L$25</f>
        <v>108941.31885764384</v>
      </c>
      <c r="G19" s="286">
        <f>'5 YILLIK GELECEĞİ PLANLAMA '!$L$26</f>
        <v>118658.99910706849</v>
      </c>
      <c r="H19" s="286">
        <f t="shared" si="0"/>
        <v>113084.98879561643</v>
      </c>
      <c r="I19" s="286">
        <f>'5 YILLIK GELECEĞİ PLANLAMA '!$L$28</f>
        <v>114978.74705227396</v>
      </c>
      <c r="J19" s="286">
        <f>'5 YILLIK GELECEĞİ PLANLAMA '!$L$29</f>
        <v>109261.32562849314</v>
      </c>
      <c r="K19" s="286">
        <f>'5 YILLIK GELECEĞİ PLANLAMA '!$L$30</f>
        <v>110337.35562213698</v>
      </c>
      <c r="L19" s="286">
        <f>'5 YILLIK GELECEĞİ PLANLAMA '!$L$31</f>
        <v>107820.06321665752</v>
      </c>
      <c r="M19" s="265"/>
      <c r="N19" s="265"/>
      <c r="O19" s="265"/>
      <c r="P19" s="487"/>
    </row>
    <row r="20" spans="1:16" ht="21" x14ac:dyDescent="0.25">
      <c r="A20" s="266">
        <f>D20+E20+F20+G20+H20+I20+J20+K20+L20+M20</f>
        <v>3166773.3270934792</v>
      </c>
      <c r="B20" s="267">
        <v>45536</v>
      </c>
      <c r="D20" s="489">
        <f>'5 YILLIK GELECEĞİ PLANLAMA '!$K$32</f>
        <v>2214937.34</v>
      </c>
      <c r="E20" s="268">
        <f>'5 YILLIK GELECEĞİ PLANLAMA '!$L$24</f>
        <v>66800.131459068492</v>
      </c>
      <c r="F20" s="268">
        <f>'5 YILLIK GELECEĞİ PLANLAMA '!$L$25</f>
        <v>108941.31885764384</v>
      </c>
      <c r="G20" s="268">
        <f>'5 YILLIK GELECEĞİ PLANLAMA '!$L$26</f>
        <v>118658.99910706849</v>
      </c>
      <c r="H20" s="268">
        <f t="shared" si="0"/>
        <v>113084.98879561643</v>
      </c>
      <c r="I20" s="268">
        <f>'5 YILLIK GELECEĞİ PLANLAMA '!$L$28</f>
        <v>114978.74705227396</v>
      </c>
      <c r="J20" s="268">
        <f>'5 YILLIK GELECEĞİ PLANLAMA '!$L$29</f>
        <v>109261.32562849314</v>
      </c>
      <c r="K20" s="268">
        <f>'5 YILLIK GELECEĞİ PLANLAMA '!$L$30</f>
        <v>110337.35562213698</v>
      </c>
      <c r="L20" s="268">
        <f>'5 YILLIK GELECEĞİ PLANLAMA '!$L$31</f>
        <v>107820.06321665752</v>
      </c>
      <c r="M20" s="268">
        <f>'5 YILLIK GELECEĞİ PLANLAMA '!$L$32</f>
        <v>101953.05735452054</v>
      </c>
      <c r="N20" s="265"/>
      <c r="O20" s="265"/>
      <c r="P20" s="487"/>
    </row>
    <row r="21" spans="1:16" ht="21" x14ac:dyDescent="0.25">
      <c r="A21" s="287">
        <f>D21+E21+F21+G21+H21+I21+J21+K21+L21+M21+N21</f>
        <v>3215864.8054991779</v>
      </c>
      <c r="B21" s="288">
        <v>45566</v>
      </c>
      <c r="D21" s="493">
        <f>'5 YILLIK GELECEĞİ PLANLAMA '!$K$33</f>
        <v>2161243.34</v>
      </c>
      <c r="E21" s="289">
        <f>'5 YILLIK GELECEĞİ PLANLAMA '!$L$24</f>
        <v>66800.131459068492</v>
      </c>
      <c r="F21" s="289">
        <f>'5 YILLIK GELECEĞİ PLANLAMA '!$L$25</f>
        <v>108941.31885764384</v>
      </c>
      <c r="G21" s="289">
        <f>'5 YILLIK GELECEĞİ PLANLAMA '!$L$26</f>
        <v>118658.99910706849</v>
      </c>
      <c r="H21" s="289">
        <f t="shared" si="0"/>
        <v>113084.98879561643</v>
      </c>
      <c r="I21" s="289">
        <f>'5 YILLIK GELECEĞİ PLANLAMA '!$L$28</f>
        <v>114978.74705227396</v>
      </c>
      <c r="J21" s="289">
        <f>'5 YILLIK GELECEĞİ PLANLAMA '!$L$29</f>
        <v>109261.32562849314</v>
      </c>
      <c r="K21" s="289">
        <f>'5 YILLIK GELECEĞİ PLANLAMA '!$L$30</f>
        <v>110337.35562213698</v>
      </c>
      <c r="L21" s="289">
        <f>'5 YILLIK GELECEĞİ PLANLAMA '!$L$31</f>
        <v>107820.06321665752</v>
      </c>
      <c r="M21" s="289">
        <f>'5 YILLIK GELECEĞİ PLANLAMA '!$L$32</f>
        <v>101953.05735452054</v>
      </c>
      <c r="N21" s="289">
        <f>'5 YILLIK GELECEĞİ PLANLAMA '!$L$33</f>
        <v>102785.47840569862</v>
      </c>
      <c r="O21" s="265"/>
      <c r="P21" s="487"/>
    </row>
    <row r="22" spans="1:16" ht="21" x14ac:dyDescent="0.25">
      <c r="A22" s="272">
        <f>D22+E22+F22+G22+H22+I22+J22+K22+L22+M22+N22+O22</f>
        <v>3259251.6840043832</v>
      </c>
      <c r="B22" s="273">
        <v>45597</v>
      </c>
      <c r="D22" s="491">
        <f>'5 YILLIK GELECEĞİ PLANLAMA '!$K$34</f>
        <v>2107549.34</v>
      </c>
      <c r="E22" s="274">
        <f>'5 YILLIK GELECEĞİ PLANLAMA '!$L$24</f>
        <v>66800.131459068492</v>
      </c>
      <c r="F22" s="274">
        <f>'5 YILLIK GELECEĞİ PLANLAMA '!$L$25</f>
        <v>108941.31885764384</v>
      </c>
      <c r="G22" s="274">
        <f>'5 YILLIK GELECEĞİ PLANLAMA '!$L$26</f>
        <v>118658.99910706849</v>
      </c>
      <c r="H22" s="274">
        <f t="shared" si="0"/>
        <v>113084.98879561643</v>
      </c>
      <c r="I22" s="274">
        <f>'5 YILLIK GELECEĞİ PLANLAMA '!$L$28</f>
        <v>114978.74705227396</v>
      </c>
      <c r="J22" s="274">
        <f>'5 YILLIK GELECEĞİ PLANLAMA '!$L$29</f>
        <v>109261.32562849314</v>
      </c>
      <c r="K22" s="274">
        <f>'5 YILLIK GELECEĞİ PLANLAMA '!$L$30</f>
        <v>110337.35562213698</v>
      </c>
      <c r="L22" s="274">
        <f>'5 YILLIK GELECEĞİ PLANLAMA '!$L$31</f>
        <v>107820.06321665752</v>
      </c>
      <c r="M22" s="274">
        <f>'5 YILLIK GELECEĞİ PLANLAMA '!$L$32</f>
        <v>101953.05735452054</v>
      </c>
      <c r="N22" s="274">
        <f>'5 YILLIK GELECEĞİ PLANLAMA '!$L$33</f>
        <v>102785.47840569862</v>
      </c>
      <c r="O22" s="274">
        <f>'5 YILLIK GELECEĞİ PLANLAMA '!$L$34</f>
        <v>97080.878505205474</v>
      </c>
      <c r="P22" s="487"/>
    </row>
    <row r="23" spans="1:16" ht="21.75" thickBot="1" x14ac:dyDescent="0.3">
      <c r="A23" s="503">
        <f>D23+E23+F23+G23+H23+I23+J23+K23+L23+M23+N23+O23+P23</f>
        <v>3342617.9715975882</v>
      </c>
      <c r="B23" s="504">
        <v>45627</v>
      </c>
      <c r="D23" s="494">
        <f>'5 YILLIK GELECEĞİ PLANLAMA '!$K$35</f>
        <v>2053855.3399999999</v>
      </c>
      <c r="E23" s="495">
        <f>'5 YILLIK GELECEĞİ PLANLAMA '!$L$24</f>
        <v>66800.131459068492</v>
      </c>
      <c r="F23" s="495">
        <f>'5 YILLIK GELECEĞİ PLANLAMA '!$L$25</f>
        <v>108941.31885764384</v>
      </c>
      <c r="G23" s="495">
        <f>'5 YILLIK GELECEĞİ PLANLAMA '!$H$26</f>
        <v>114482.92990684931</v>
      </c>
      <c r="H23" s="495">
        <f t="shared" si="0"/>
        <v>113084.98879561643</v>
      </c>
      <c r="I23" s="495">
        <f>'5 YILLIK GELECEĞİ PLANLAMA '!$L$28</f>
        <v>114978.74705227396</v>
      </c>
      <c r="J23" s="495">
        <f>'5 YILLIK GELECEĞİ PLANLAMA '!$L$29</f>
        <v>109261.32562849314</v>
      </c>
      <c r="K23" s="495">
        <f>'5 YILLIK GELECEĞİ PLANLAMA '!$L$30</f>
        <v>110337.35562213698</v>
      </c>
      <c r="L23" s="495">
        <f>'5 YILLIK GELECEĞİ PLANLAMA '!$L$31</f>
        <v>107820.06321665752</v>
      </c>
      <c r="M23" s="495">
        <f>'5 YILLIK GELECEĞİ PLANLAMA '!$L$32</f>
        <v>101953.05735452054</v>
      </c>
      <c r="N23" s="495">
        <f>'5 YILLIK GELECEĞİ PLANLAMA '!$L$33</f>
        <v>102785.47840569862</v>
      </c>
      <c r="O23" s="495">
        <f>'5 YILLIK GELECEĞİ PLANLAMA '!$L$34</f>
        <v>97080.878505205474</v>
      </c>
      <c r="P23" s="495">
        <f>'5 YILLIK GELECEĞİ PLANLAMA '!$L$35</f>
        <v>141236.35679342464</v>
      </c>
    </row>
    <row r="24" spans="1:16" ht="15.75" thickBot="1" x14ac:dyDescent="0.3"/>
    <row r="25" spans="1:16" ht="47.25" thickBot="1" x14ac:dyDescent="0.3">
      <c r="A25" s="468">
        <f>'AYRINTILI BİLGİLER'!N13</f>
        <v>3303413.913213253</v>
      </c>
      <c r="B25" s="1297" t="s">
        <v>434</v>
      </c>
      <c r="C25" s="1298"/>
      <c r="D25" s="1298"/>
      <c r="E25" s="1298"/>
      <c r="F25" s="1298"/>
      <c r="G25" s="1298"/>
      <c r="H25" s="1298"/>
      <c r="I25" s="1298"/>
      <c r="J25" s="1299"/>
    </row>
    <row r="27" spans="1:16" ht="15.75" thickBot="1" x14ac:dyDescent="0.3"/>
    <row r="28" spans="1:16" ht="39.75" thickBot="1" x14ac:dyDescent="0.3">
      <c r="B28" s="29" t="s">
        <v>218</v>
      </c>
      <c r="C28" s="24" t="e">
        <f>'BAŞ SAYFA'!#REF!</f>
        <v>#REF!</v>
      </c>
      <c r="D28" s="30" t="e">
        <f>'BAŞ SAYFA'!#REF!</f>
        <v>#REF!</v>
      </c>
    </row>
    <row r="29" spans="1:16" ht="15.75" thickBot="1" x14ac:dyDescent="0.3">
      <c r="B29" s="8" t="s">
        <v>23</v>
      </c>
      <c r="C29" s="26" t="e">
        <f>C27+(12*C28)</f>
        <v>#REF!</v>
      </c>
      <c r="D29" s="25"/>
    </row>
    <row r="30" spans="1:16" ht="15.75" thickBot="1" x14ac:dyDescent="0.3">
      <c r="B30" s="1263"/>
      <c r="C30" s="1264"/>
      <c r="D30" s="1265"/>
    </row>
    <row r="31" spans="1:16" ht="19.5" thickBot="1" x14ac:dyDescent="0.3">
      <c r="B31" s="9" t="s">
        <v>57</v>
      </c>
      <c r="C31" s="123" t="e">
        <f>#REF!</f>
        <v>#REF!</v>
      </c>
      <c r="D31" s="1"/>
    </row>
    <row r="32" spans="1:16" ht="15.75" thickBot="1" x14ac:dyDescent="0.3">
      <c r="B32" s="28" t="s">
        <v>184</v>
      </c>
      <c r="C32" s="61" t="e">
        <f>C31/12</f>
        <v>#REF!</v>
      </c>
      <c r="D32" s="297" t="e">
        <f>C31/365</f>
        <v>#REF!</v>
      </c>
    </row>
    <row r="33" spans="2:4" ht="15.75" thickBot="1" x14ac:dyDescent="0.3">
      <c r="B33" s="1264"/>
      <c r="C33" s="1264"/>
      <c r="D33" s="1264"/>
    </row>
    <row r="34" spans="2:4" ht="15.75" thickBot="1" x14ac:dyDescent="0.3">
      <c r="B34" s="1254" t="s">
        <v>211</v>
      </c>
      <c r="C34" s="1255"/>
      <c r="D34" s="1256"/>
    </row>
    <row r="35" spans="2:4" ht="16.5" thickBot="1" x14ac:dyDescent="0.3">
      <c r="B35" s="354">
        <v>1</v>
      </c>
      <c r="C35" s="18" t="e">
        <f>C29-C28</f>
        <v>#REF!</v>
      </c>
      <c r="D35" s="353" t="e">
        <f>(((C29*D32)/100)*5)+(((C35*D32)/100)*12)</f>
        <v>#REF!</v>
      </c>
    </row>
    <row r="36" spans="2:4" ht="16.5" thickBot="1" x14ac:dyDescent="0.3">
      <c r="B36" s="354">
        <v>2</v>
      </c>
      <c r="C36" s="18" t="e">
        <f>C35-C28</f>
        <v>#REF!</v>
      </c>
      <c r="D36" s="353" t="e">
        <f>(((C35*D32)/100)*18)+(((C36*D32)/100)*11)</f>
        <v>#REF!</v>
      </c>
    </row>
    <row r="37" spans="2:4" ht="16.5" thickBot="1" x14ac:dyDescent="0.3">
      <c r="B37" s="354">
        <v>3</v>
      </c>
      <c r="C37" s="18" t="e">
        <f>C36-C28</f>
        <v>#REF!</v>
      </c>
      <c r="D37" s="353" t="e">
        <f>(((C36*D32)/100)*18)+(((C37*D32)/100)*13)</f>
        <v>#REF!</v>
      </c>
    </row>
    <row r="38" spans="2:4" ht="16.5" thickBot="1" x14ac:dyDescent="0.3">
      <c r="B38" s="354">
        <v>4</v>
      </c>
      <c r="C38" s="18" t="e">
        <f>C37-C28</f>
        <v>#REF!</v>
      </c>
      <c r="D38" s="353" t="e">
        <f>(((C37*D32)/100)*18)+(((C38*D32)/100)*12)</f>
        <v>#REF!</v>
      </c>
    </row>
    <row r="39" spans="2:4" ht="16.5" thickBot="1" x14ac:dyDescent="0.3">
      <c r="B39" s="354">
        <v>5</v>
      </c>
      <c r="C39" s="18" t="e">
        <f>C38-C28</f>
        <v>#REF!</v>
      </c>
      <c r="D39" s="353" t="e">
        <f>(((C38*D32)/100)*18)+(((C39*D32)/100)*13)</f>
        <v>#REF!</v>
      </c>
    </row>
    <row r="40" spans="2:4" ht="16.5" thickBot="1" x14ac:dyDescent="0.3">
      <c r="B40" s="354">
        <v>6</v>
      </c>
      <c r="C40" s="18" t="e">
        <f>C39-D28</f>
        <v>#REF!</v>
      </c>
      <c r="D40" s="353" t="e">
        <f>(((C39*D32)/100)*18)+(((C40*D32)/100)*12)</f>
        <v>#REF!</v>
      </c>
    </row>
    <row r="41" spans="2:4" ht="16.5" thickBot="1" x14ac:dyDescent="0.3">
      <c r="B41" s="354">
        <v>7</v>
      </c>
      <c r="C41" s="18" t="e">
        <f>C40-D28</f>
        <v>#REF!</v>
      </c>
      <c r="D41" s="353" t="e">
        <f>(((C40*D32)/100)*18)+(((C41*D32)/100)*13)</f>
        <v>#REF!</v>
      </c>
    </row>
    <row r="42" spans="2:4" ht="16.5" thickBot="1" x14ac:dyDescent="0.3">
      <c r="B42" s="354">
        <v>8</v>
      </c>
      <c r="C42" s="18" t="e">
        <f>C41-D28</f>
        <v>#REF!</v>
      </c>
      <c r="D42" s="353" t="e">
        <f>(((C41*D32)/100)*18)+(((C42*D32)/100)*13)</f>
        <v>#REF!</v>
      </c>
    </row>
    <row r="43" spans="2:4" ht="16.5" thickBot="1" x14ac:dyDescent="0.3">
      <c r="B43" s="354">
        <v>9</v>
      </c>
      <c r="C43" s="18" t="e">
        <f>C42-D28</f>
        <v>#REF!</v>
      </c>
      <c r="D43" s="353" t="e">
        <f>(((C42*D32)/100)*18)+(((C43*D32)/100)*12)</f>
        <v>#REF!</v>
      </c>
    </row>
    <row r="44" spans="2:4" ht="16.5" thickBot="1" x14ac:dyDescent="0.3">
      <c r="B44" s="354">
        <v>10</v>
      </c>
      <c r="C44" s="18" t="e">
        <f>C43-D28</f>
        <v>#REF!</v>
      </c>
      <c r="D44" s="353" t="e">
        <f>(((C43*D32)/100)*18)+(((C44*D32)/100)*13)</f>
        <v>#REF!</v>
      </c>
    </row>
    <row r="45" spans="2:4" ht="16.5" thickBot="1" x14ac:dyDescent="0.3">
      <c r="B45" s="354">
        <v>11</v>
      </c>
      <c r="C45" s="18" t="e">
        <f>C44-D28</f>
        <v>#REF!</v>
      </c>
      <c r="D45" s="353" t="e">
        <f>(((C44*D32)/100)*18)+(((C45*D32)/100)*12)</f>
        <v>#REF!</v>
      </c>
    </row>
    <row r="46" spans="2:4" ht="16.5" thickBot="1" x14ac:dyDescent="0.3">
      <c r="B46" s="354">
        <v>12</v>
      </c>
      <c r="C46" s="18" t="e">
        <f>C45-D28</f>
        <v>#REF!</v>
      </c>
      <c r="D46" s="353" t="e">
        <f>(((C45*D32)/100)*18)+(((C46*D32)/100)*(13+14))</f>
        <v>#REF!</v>
      </c>
    </row>
    <row r="47" spans="2:4" ht="15.75" thickBot="1" x14ac:dyDescent="0.3">
      <c r="B47" s="7"/>
      <c r="C47" s="18" t="e">
        <f>C46</f>
        <v>#REF!</v>
      </c>
      <c r="D47" s="18"/>
    </row>
    <row r="48" spans="2:4" ht="15.75" thickBot="1" x14ac:dyDescent="0.3">
      <c r="B48" s="1257" t="s">
        <v>207</v>
      </c>
      <c r="C48" s="1258"/>
      <c r="D48" s="170" t="e">
        <f>SUM(D35:D46)-I34</f>
        <v>#REF!</v>
      </c>
    </row>
    <row r="49" spans="2:4" ht="15.75" thickBot="1" x14ac:dyDescent="0.3">
      <c r="B49" s="1259" t="s">
        <v>9</v>
      </c>
      <c r="C49" s="1260"/>
      <c r="D49" s="298" t="e">
        <f>(((#REF!*5)+('BAŞ SAYFA'!#REF!*7))/12)*10*0.02</f>
        <v>#REF!</v>
      </c>
    </row>
    <row r="50" spans="2:4" ht="15.75" thickBot="1" x14ac:dyDescent="0.3">
      <c r="B50" s="1268" t="s">
        <v>4</v>
      </c>
      <c r="C50" s="1269"/>
      <c r="D50" s="152" t="e">
        <f>D48*2.6167/100</f>
        <v>#REF!</v>
      </c>
    </row>
    <row r="51" spans="2:4" ht="15.75" thickBot="1" x14ac:dyDescent="0.3">
      <c r="B51" s="1270" t="s">
        <v>6</v>
      </c>
      <c r="C51" s="1271"/>
      <c r="D51" s="152" t="e">
        <f>D49+D50</f>
        <v>#REF!</v>
      </c>
    </row>
    <row r="52" spans="2:4" ht="15.75" thickBot="1" x14ac:dyDescent="0.3">
      <c r="B52" s="1272" t="s">
        <v>5</v>
      </c>
      <c r="C52" s="1267"/>
      <c r="D52" s="17" t="e">
        <f>D48-D51</f>
        <v>#REF!</v>
      </c>
    </row>
    <row r="53" spans="2:4" ht="30.75" thickBot="1" x14ac:dyDescent="0.3">
      <c r="B53" s="14" t="s">
        <v>59</v>
      </c>
      <c r="C53" s="114" t="e">
        <f>(((#REF!-5)*#REF!/100+5)*100/#REF!)*#REF!</f>
        <v>#REF!</v>
      </c>
      <c r="D53" s="14"/>
    </row>
    <row r="54" spans="2:4" ht="34.5" thickBot="1" x14ac:dyDescent="0.3">
      <c r="B54" s="23" t="s">
        <v>63</v>
      </c>
      <c r="C54" s="22" t="e">
        <f>(D54-D28)/D28</f>
        <v>#REF!</v>
      </c>
      <c r="D54" s="64" t="e">
        <f>D55/12</f>
        <v>#REF!</v>
      </c>
    </row>
    <row r="55" spans="2:4" ht="15.75" thickBot="1" x14ac:dyDescent="0.3">
      <c r="B55" s="1244" t="s">
        <v>21</v>
      </c>
      <c r="C55" s="1245"/>
      <c r="D55" s="15" t="e">
        <f>(D52*C53/100)</f>
        <v>#REF!</v>
      </c>
    </row>
    <row r="56" spans="2:4" ht="15.75" thickBot="1" x14ac:dyDescent="0.3">
      <c r="B56" s="1246" t="s">
        <v>8</v>
      </c>
      <c r="C56" s="1247"/>
      <c r="D56" s="15" t="e">
        <f>D52-D55</f>
        <v>#REF!</v>
      </c>
    </row>
    <row r="57" spans="2:4" ht="48" thickBot="1" x14ac:dyDescent="0.3">
      <c r="B57" s="21" t="s">
        <v>62</v>
      </c>
      <c r="C57" s="22" t="e">
        <f>(D57-C27)/C27</f>
        <v>#REF!</v>
      </c>
      <c r="D57" s="778" t="e">
        <f>C47+D56</f>
        <v>#REF!</v>
      </c>
    </row>
    <row r="58" spans="2:4" ht="32.25" thickBot="1" x14ac:dyDescent="0.3">
      <c r="B58" s="1248" t="s">
        <v>25</v>
      </c>
      <c r="C58" s="1249"/>
      <c r="D58" s="779" t="e">
        <f>D57+D55</f>
        <v>#REF!</v>
      </c>
    </row>
  </sheetData>
  <mergeCells count="17">
    <mergeCell ref="B50:C50"/>
    <mergeCell ref="D1:P6"/>
    <mergeCell ref="D7:O8"/>
    <mergeCell ref="A8:B8"/>
    <mergeCell ref="E10:P10"/>
    <mergeCell ref="A11:B11"/>
    <mergeCell ref="B25:J25"/>
    <mergeCell ref="B30:D30"/>
    <mergeCell ref="B33:D33"/>
    <mergeCell ref="B34:D34"/>
    <mergeCell ref="B48:C48"/>
    <mergeCell ref="B49:C49"/>
    <mergeCell ref="B51:C51"/>
    <mergeCell ref="B52:C52"/>
    <mergeCell ref="B55:C55"/>
    <mergeCell ref="B56:C56"/>
    <mergeCell ref="B58:C5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O32"/>
  <sheetViews>
    <sheetView topLeftCell="B1" workbookViewId="0">
      <selection activeCell="K17" sqref="K17"/>
    </sheetView>
  </sheetViews>
  <sheetFormatPr defaultRowHeight="15" x14ac:dyDescent="0.25"/>
  <cols>
    <col min="5" max="5" width="12" bestFit="1" customWidth="1"/>
    <col min="7" max="7" width="12.5703125" customWidth="1"/>
    <col min="9" max="9" width="25" customWidth="1"/>
    <col min="10" max="10" width="28.28515625" customWidth="1"/>
    <col min="11" max="11" width="27.28515625" customWidth="1"/>
    <col min="12" max="12" width="16.7109375" customWidth="1"/>
    <col min="13" max="13" width="31.140625" customWidth="1"/>
  </cols>
  <sheetData>
    <row r="1" spans="3:15" x14ac:dyDescent="0.25">
      <c r="I1" s="540">
        <v>0.52990000000000004</v>
      </c>
    </row>
    <row r="2" spans="3:15" x14ac:dyDescent="0.25">
      <c r="C2" s="1319" t="s">
        <v>482</v>
      </c>
      <c r="D2" s="1319"/>
      <c r="E2" s="1313">
        <f>48713000000*0.97</f>
        <v>47251610000</v>
      </c>
      <c r="F2" s="1313"/>
      <c r="G2" s="793" t="s">
        <v>472</v>
      </c>
      <c r="H2" s="794">
        <v>0.39</v>
      </c>
      <c r="I2" s="795" t="s">
        <v>474</v>
      </c>
      <c r="J2" s="796" t="s">
        <v>475</v>
      </c>
      <c r="K2" s="797" t="s">
        <v>476</v>
      </c>
    </row>
    <row r="3" spans="3:15" x14ac:dyDescent="0.25">
      <c r="G3" s="1313">
        <f>E2*H2</f>
        <v>18428127900</v>
      </c>
      <c r="H3" s="1313"/>
      <c r="I3" s="798">
        <f>G3*I1</f>
        <v>9765064974.210001</v>
      </c>
      <c r="J3" s="798">
        <f>I3/12</f>
        <v>813755414.51750004</v>
      </c>
      <c r="K3" s="798">
        <f>J3*5</f>
        <v>4068777072.5875001</v>
      </c>
      <c r="M3" s="798">
        <f>((J3*5)+(J7*7))/12</f>
        <v>1272119475.265625</v>
      </c>
    </row>
    <row r="4" spans="3:15" ht="15.75" thickBot="1" x14ac:dyDescent="0.3">
      <c r="M4" s="801">
        <f>M3*10</f>
        <v>12721194752.65625</v>
      </c>
    </row>
    <row r="5" spans="3:15" x14ac:dyDescent="0.25">
      <c r="I5" s="540">
        <v>0.52769999999999995</v>
      </c>
      <c r="M5" s="804">
        <f>M4*0.02</f>
        <v>254423895.05312499</v>
      </c>
      <c r="N5" s="1040"/>
      <c r="O5" s="1040"/>
    </row>
    <row r="6" spans="3:15" x14ac:dyDescent="0.25">
      <c r="G6" s="793" t="s">
        <v>472</v>
      </c>
      <c r="H6" s="794">
        <v>0.4</v>
      </c>
      <c r="I6" s="795" t="s">
        <v>474</v>
      </c>
      <c r="J6" s="796" t="s">
        <v>475</v>
      </c>
      <c r="K6" s="797" t="s">
        <v>476</v>
      </c>
      <c r="M6" s="1322" t="s">
        <v>484</v>
      </c>
    </row>
    <row r="7" spans="3:15" ht="15.75" thickBot="1" x14ac:dyDescent="0.3">
      <c r="C7" s="1319" t="s">
        <v>471</v>
      </c>
      <c r="D7" s="1319"/>
      <c r="E7" s="1313">
        <f>93746000000*0.97</f>
        <v>90933620000</v>
      </c>
      <c r="F7" s="1313"/>
      <c r="G7" s="1313">
        <f>(E7*H6)</f>
        <v>36373448000</v>
      </c>
      <c r="H7" s="1313"/>
      <c r="I7" s="798">
        <f>(G7*I5)</f>
        <v>19194268509.599998</v>
      </c>
      <c r="J7" s="798">
        <f>I7/12</f>
        <v>1599522375.8</v>
      </c>
      <c r="K7" s="798">
        <f>J7*5</f>
        <v>7997611879</v>
      </c>
      <c r="M7" s="1323"/>
    </row>
    <row r="8" spans="3:15" ht="15.75" thickBot="1" x14ac:dyDescent="0.3">
      <c r="C8" s="505"/>
      <c r="D8" s="505"/>
      <c r="E8" s="505"/>
      <c r="F8" s="505"/>
      <c r="G8" s="551"/>
      <c r="H8" s="551"/>
      <c r="I8" s="192"/>
    </row>
    <row r="9" spans="3:15" ht="30" x14ac:dyDescent="0.25">
      <c r="C9" s="505"/>
      <c r="D9" s="505"/>
      <c r="E9" s="505"/>
      <c r="F9" s="505"/>
      <c r="G9" s="505"/>
      <c r="H9" s="505"/>
      <c r="I9" s="540">
        <v>0.53239999999999998</v>
      </c>
      <c r="M9" s="802" t="s">
        <v>483</v>
      </c>
    </row>
    <row r="10" spans="3:15" ht="15.75" thickBot="1" x14ac:dyDescent="0.3">
      <c r="C10" s="505"/>
      <c r="D10" s="505"/>
      <c r="E10" s="505"/>
      <c r="F10" s="505"/>
      <c r="G10" s="793" t="s">
        <v>472</v>
      </c>
      <c r="H10" s="794">
        <v>0.42</v>
      </c>
      <c r="I10" s="795" t="s">
        <v>474</v>
      </c>
      <c r="J10" s="796" t="s">
        <v>475</v>
      </c>
      <c r="K10" s="797" t="s">
        <v>477</v>
      </c>
      <c r="M10" s="803"/>
    </row>
    <row r="11" spans="3:15" x14ac:dyDescent="0.25">
      <c r="C11" s="1319" t="s">
        <v>473</v>
      </c>
      <c r="D11" s="1319"/>
      <c r="E11" s="1313">
        <f>148164000000*0.97</f>
        <v>143719080000</v>
      </c>
      <c r="F11" s="1313"/>
      <c r="G11" s="1313">
        <f>(E11*H10)</f>
        <v>60362013600</v>
      </c>
      <c r="H11" s="1313"/>
      <c r="I11" s="798">
        <f>G11*I9</f>
        <v>32136736040.639999</v>
      </c>
      <c r="J11" s="798">
        <f>I11/12</f>
        <v>2678061336.7199998</v>
      </c>
      <c r="K11" s="798">
        <f>J11*7</f>
        <v>18746429357.039997</v>
      </c>
    </row>
    <row r="13" spans="3:15" ht="15.75" thickBot="1" x14ac:dyDescent="0.3"/>
    <row r="14" spans="3:15" x14ac:dyDescent="0.25">
      <c r="C14" s="1324" t="s">
        <v>478</v>
      </c>
      <c r="D14" s="1324"/>
      <c r="E14" s="1324"/>
      <c r="F14" s="1324"/>
      <c r="G14" s="1325" t="s">
        <v>479</v>
      </c>
      <c r="H14" s="1325"/>
      <c r="I14" s="944"/>
      <c r="J14" s="805" t="s">
        <v>480</v>
      </c>
      <c r="K14" s="1320" t="s">
        <v>485</v>
      </c>
    </row>
    <row r="15" spans="3:15" ht="15.75" thickBot="1" x14ac:dyDescent="0.3">
      <c r="C15" s="1313">
        <f>(K7+K11)/12</f>
        <v>2228670103.0033331</v>
      </c>
      <c r="D15" s="1313"/>
      <c r="E15" s="1313"/>
      <c r="F15" s="1313"/>
      <c r="G15" s="1313">
        <f>C15*10</f>
        <v>22286701030.033333</v>
      </c>
      <c r="H15" s="1313"/>
      <c r="I15" s="1317"/>
      <c r="J15" s="806">
        <f>G15*0.02</f>
        <v>445734020.60066664</v>
      </c>
      <c r="K15" s="1321"/>
    </row>
    <row r="16" spans="3:15" ht="25.5" x14ac:dyDescent="0.25">
      <c r="K16" s="826" t="s">
        <v>504</v>
      </c>
      <c r="L16" s="1341" t="s">
        <v>505</v>
      </c>
      <c r="M16" s="1342"/>
    </row>
    <row r="17" spans="3:15" ht="15.75" thickBot="1" x14ac:dyDescent="0.3">
      <c r="K17" s="827">
        <f>F22+J15</f>
        <v>1375734020.6006665</v>
      </c>
      <c r="L17" s="1343" t="s">
        <v>490</v>
      </c>
      <c r="M17" s="1344"/>
    </row>
    <row r="18" spans="3:15" ht="15.75" thickBot="1" x14ac:dyDescent="0.3"/>
    <row r="19" spans="3:15" ht="15" customHeight="1" thickBot="1" x14ac:dyDescent="0.3">
      <c r="C19" s="1333" t="s">
        <v>492</v>
      </c>
      <c r="D19" s="1334"/>
      <c r="E19" s="1334"/>
      <c r="F19" s="1335"/>
      <c r="G19" s="818">
        <v>2500</v>
      </c>
      <c r="J19" s="825" t="s">
        <v>501</v>
      </c>
      <c r="K19" s="1336" t="s">
        <v>502</v>
      </c>
      <c r="L19" s="1345" t="s">
        <v>506</v>
      </c>
      <c r="M19" s="1346"/>
    </row>
    <row r="20" spans="3:15" ht="15" customHeight="1" thickBot="1" x14ac:dyDescent="0.3">
      <c r="C20" s="1331" t="s">
        <v>491</v>
      </c>
      <c r="D20" s="1332"/>
      <c r="E20" s="1332"/>
      <c r="F20" s="1332"/>
      <c r="G20" s="819">
        <f>3045</f>
        <v>3045</v>
      </c>
      <c r="J20" s="823">
        <f>F27</f>
        <v>456250000</v>
      </c>
      <c r="K20" s="1337"/>
      <c r="L20" s="1347">
        <f>M5</f>
        <v>254423895.05312499</v>
      </c>
      <c r="M20" s="1348"/>
    </row>
    <row r="21" spans="3:15" ht="40.9" customHeight="1" thickBot="1" x14ac:dyDescent="0.3">
      <c r="C21" s="1314" t="s">
        <v>481</v>
      </c>
      <c r="D21" s="1314"/>
      <c r="E21" s="1315"/>
      <c r="F21" s="1316" t="s">
        <v>495</v>
      </c>
      <c r="G21" s="1316"/>
      <c r="K21" s="808">
        <f>J20+M5</f>
        <v>710673895.05312502</v>
      </c>
    </row>
    <row r="22" spans="3:15" ht="15.75" thickBot="1" x14ac:dyDescent="0.3">
      <c r="C22" s="1313">
        <v>372000</v>
      </c>
      <c r="D22" s="1313"/>
      <c r="E22" s="1317"/>
      <c r="F22" s="1318">
        <f>C22*G19</f>
        <v>930000000</v>
      </c>
      <c r="G22" s="1318"/>
    </row>
    <row r="23" spans="3:15" ht="15.75" thickBot="1" x14ac:dyDescent="0.3">
      <c r="K23" s="809" t="s">
        <v>499</v>
      </c>
      <c r="L23" s="821">
        <f>J20/K21</f>
        <v>0.64199628433783107</v>
      </c>
      <c r="N23" s="1040"/>
      <c r="O23" s="1040"/>
    </row>
    <row r="24" spans="3:15" ht="15.75" thickBot="1" x14ac:dyDescent="0.3">
      <c r="C24" s="1333" t="s">
        <v>492</v>
      </c>
      <c r="D24" s="1334"/>
      <c r="E24" s="1334"/>
      <c r="F24" s="1335"/>
      <c r="G24" s="818">
        <v>1250</v>
      </c>
      <c r="K24" s="810" t="s">
        <v>500</v>
      </c>
      <c r="L24" s="822">
        <f>M5/K21</f>
        <v>0.35800371566216882</v>
      </c>
    </row>
    <row r="25" spans="3:15" ht="15.75" thickBot="1" x14ac:dyDescent="0.3">
      <c r="C25" s="1331" t="s">
        <v>491</v>
      </c>
      <c r="D25" s="1332"/>
      <c r="E25" s="1332"/>
      <c r="F25" s="1332"/>
      <c r="G25" s="819" t="s">
        <v>490</v>
      </c>
    </row>
    <row r="26" spans="3:15" ht="15.75" thickBot="1" x14ac:dyDescent="0.3">
      <c r="C26" s="1314" t="s">
        <v>481</v>
      </c>
      <c r="D26" s="1314"/>
      <c r="E26" s="1315"/>
      <c r="F26" s="1316" t="s">
        <v>498</v>
      </c>
      <c r="G26" s="1316"/>
      <c r="K26" s="814" t="s">
        <v>503</v>
      </c>
      <c r="L26" s="813">
        <f>295000000+63000000</f>
        <v>358000000</v>
      </c>
      <c r="M26" t="s">
        <v>494</v>
      </c>
    </row>
    <row r="27" spans="3:15" ht="15.75" thickBot="1" x14ac:dyDescent="0.3">
      <c r="C27" s="1313">
        <v>365000</v>
      </c>
      <c r="D27" s="1338"/>
      <c r="E27" s="1339"/>
      <c r="F27" s="1340">
        <f>C27*G24</f>
        <v>456250000</v>
      </c>
      <c r="G27" s="1340"/>
      <c r="K27" s="811" t="s">
        <v>489</v>
      </c>
      <c r="L27" s="817">
        <v>63000000</v>
      </c>
    </row>
    <row r="28" spans="3:15" ht="15.75" thickBot="1" x14ac:dyDescent="0.3">
      <c r="D28" s="1326" t="s">
        <v>496</v>
      </c>
      <c r="E28" s="1327"/>
      <c r="F28" s="1327"/>
      <c r="G28" s="1327"/>
      <c r="H28" s="1328"/>
      <c r="I28" s="824">
        <f>295000000/2543</f>
        <v>116004.71883602045</v>
      </c>
      <c r="K28" s="812" t="s">
        <v>486</v>
      </c>
      <c r="L28" s="1349">
        <f>L26-L27</f>
        <v>295000000</v>
      </c>
    </row>
    <row r="29" spans="3:15" ht="15.75" thickBot="1" x14ac:dyDescent="0.3">
      <c r="D29" s="1329" t="s">
        <v>497</v>
      </c>
      <c r="E29" s="1330"/>
      <c r="F29" s="1330"/>
      <c r="G29" s="1330"/>
      <c r="H29" s="1330"/>
      <c r="I29" s="824">
        <f>L27/766</f>
        <v>82245.430809399477</v>
      </c>
      <c r="K29" s="812" t="s">
        <v>487</v>
      </c>
      <c r="L29" s="1350"/>
    </row>
    <row r="30" spans="3:15" ht="15.75" thickBot="1" x14ac:dyDescent="0.3"/>
    <row r="31" spans="3:15" ht="15.75" thickBot="1" x14ac:dyDescent="0.3">
      <c r="J31" s="816" t="s">
        <v>508</v>
      </c>
      <c r="K31" s="816" t="s">
        <v>488</v>
      </c>
      <c r="L31" s="815">
        <f>K21-L26</f>
        <v>352673895.05312502</v>
      </c>
      <c r="M31" s="820">
        <f>L31/K21</f>
        <v>0.49625277853601418</v>
      </c>
    </row>
    <row r="32" spans="3:15" ht="15.75" thickBot="1" x14ac:dyDescent="0.3">
      <c r="J32" s="816" t="s">
        <v>507</v>
      </c>
      <c r="K32" s="816" t="s">
        <v>493</v>
      </c>
      <c r="L32" s="815">
        <f>L26</f>
        <v>358000000</v>
      </c>
      <c r="M32" s="820">
        <f>L32/K21</f>
        <v>0.50374722146398587</v>
      </c>
    </row>
  </sheetData>
  <mergeCells count="37">
    <mergeCell ref="L16:M16"/>
    <mergeCell ref="L17:M17"/>
    <mergeCell ref="L19:M19"/>
    <mergeCell ref="L20:M20"/>
    <mergeCell ref="L28:L29"/>
    <mergeCell ref="D28:H28"/>
    <mergeCell ref="D29:H29"/>
    <mergeCell ref="C20:F20"/>
    <mergeCell ref="C19:F19"/>
    <mergeCell ref="K19:K20"/>
    <mergeCell ref="C24:F24"/>
    <mergeCell ref="C25:F25"/>
    <mergeCell ref="C26:E26"/>
    <mergeCell ref="F26:G26"/>
    <mergeCell ref="C27:E27"/>
    <mergeCell ref="F27:G27"/>
    <mergeCell ref="N23:O23"/>
    <mergeCell ref="C2:D2"/>
    <mergeCell ref="E2:F2"/>
    <mergeCell ref="G3:H3"/>
    <mergeCell ref="N5:O5"/>
    <mergeCell ref="K14:K15"/>
    <mergeCell ref="M6:M7"/>
    <mergeCell ref="C14:F14"/>
    <mergeCell ref="C15:F15"/>
    <mergeCell ref="G14:I14"/>
    <mergeCell ref="G15:I15"/>
    <mergeCell ref="C7:D7"/>
    <mergeCell ref="E7:F7"/>
    <mergeCell ref="C11:D11"/>
    <mergeCell ref="E11:F11"/>
    <mergeCell ref="G7:H7"/>
    <mergeCell ref="G11:H11"/>
    <mergeCell ref="C21:E21"/>
    <mergeCell ref="F21:G21"/>
    <mergeCell ref="C22:E22"/>
    <mergeCell ref="F22:G2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25</vt:i4>
      </vt:variant>
    </vt:vector>
  </HeadingPairs>
  <TitlesOfParts>
    <vt:vector size="25" baseType="lpstr">
      <vt:lpstr>nema tahmin segmentli</vt:lpstr>
      <vt:lpstr>KULLANIM KILAVUZU</vt:lpstr>
      <vt:lpstr>BAŞ SAYFA</vt:lpstr>
      <vt:lpstr>AYRINTILI BİLGİLER</vt:lpstr>
      <vt:lpstr>NEMA ENF REKOR</vt:lpstr>
      <vt:lpstr>5 YILLIK GELECEĞİ PLANLAMA </vt:lpstr>
      <vt:lpstr>OYAK ANLIK VARLIK HESAPLAMA </vt:lpstr>
      <vt:lpstr>AYLIK 3 AYLIK FARK</vt:lpstr>
      <vt:lpstr>riziko primi hesaplama toplam</vt:lpstr>
      <vt:lpstr>NEMA REEL GETİRİ</vt:lpstr>
      <vt:lpstr>MASRAF VE RİZİKO</vt:lpstr>
      <vt:lpstr>MASRAF KESİNTİ ORANININ DÜŞÜRÜL</vt:lpstr>
      <vt:lpstr>Sayfa2</vt:lpstr>
      <vt:lpstr>Sayfa1</vt:lpstr>
      <vt:lpstr>GİRDİ SEKMESİ</vt:lpstr>
      <vt:lpstr> 2022 KONTROL SEKMESİ</vt:lpstr>
      <vt:lpstr>MAAŞ ORANI KARAR VERME</vt:lpstr>
      <vt:lpstr>TAMAMLAMA DENEY HESABI</vt:lpstr>
      <vt:lpstr> tamamlama deney örnek kişi</vt:lpstr>
      <vt:lpstr> tamamlama deney zafer</vt:lpstr>
      <vt:lpstr>Sayfa6</vt:lpstr>
      <vt:lpstr>şirket değer hesaplama</vt:lpstr>
      <vt:lpstr>şirket değer hesaplama ERSAN</vt:lpstr>
      <vt:lpstr>şirket değer hesaplama zafer</vt:lpstr>
      <vt:lpstr>5 YILLIK YENİ MAAŞ VE REZERV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2006-09-26T09:04:32Z</dcterms:created>
  <dcterms:modified xsi:type="dcterms:W3CDTF">2026-01-07T10:38:37Z</dcterms:modified>
</cp:coreProperties>
</file>